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LAVORO\ANAC\2025\"/>
    </mc:Choice>
  </mc:AlternateContent>
  <xr:revisionPtr revIDLastSave="0" documentId="13_ncr:1_{A945E9B6-88A7-4635-B4F3-9F16C1A0EFA2}" xr6:coauthVersionLast="47" xr6:coauthVersionMax="47" xr10:uidLastSave="{00000000-0000-0000-0000-000000000000}"/>
  <bookViews>
    <workbookView xWindow="-120" yWindow="-120" windowWidth="29040" windowHeight="15840" xr2:uid="{F9A849FC-EEB6-4200-9080-5D78C99F39DF}"/>
  </bookViews>
  <sheets>
    <sheet name="Foglio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2" i="1" l="1"/>
  <c r="C104" i="1" s="1"/>
  <c r="C101" i="1"/>
  <c r="E95" i="1"/>
  <c r="E94" i="1"/>
  <c r="F94" i="1" s="1"/>
  <c r="E93" i="1"/>
  <c r="F93" i="1" s="1"/>
  <c r="H84" i="1"/>
  <c r="H78" i="1"/>
  <c r="L73" i="1"/>
  <c r="J71" i="1"/>
  <c r="J70" i="1"/>
  <c r="I70" i="1"/>
  <c r="J67" i="1"/>
  <c r="I66" i="1"/>
  <c r="J66" i="1" s="1"/>
  <c r="J65" i="1"/>
  <c r="N64" i="1"/>
  <c r="I64" i="1"/>
  <c r="J64" i="1" s="1"/>
  <c r="J63" i="1"/>
  <c r="I62" i="1"/>
  <c r="J61" i="1"/>
  <c r="I61" i="1"/>
  <c r="J59" i="1"/>
  <c r="I58" i="1"/>
  <c r="J58" i="1" s="1"/>
  <c r="I56" i="1"/>
  <c r="L55" i="1"/>
  <c r="J55" i="1"/>
  <c r="J54" i="1"/>
  <c r="L54" i="1" s="1"/>
  <c r="I51" i="1"/>
  <c r="I45" i="1"/>
  <c r="I44" i="1"/>
  <c r="J42" i="1"/>
  <c r="I42" i="1"/>
  <c r="I32" i="1"/>
  <c r="I28" i="1"/>
  <c r="I27" i="1"/>
  <c r="I26" i="1"/>
  <c r="I25" i="1"/>
  <c r="I20" i="1"/>
  <c r="N17" i="1"/>
  <c r="M17" i="1"/>
  <c r="I17" i="1"/>
  <c r="I30" i="1" s="1"/>
  <c r="G14" i="1"/>
  <c r="D14" i="1"/>
  <c r="L13" i="1"/>
  <c r="J13" i="1"/>
  <c r="M13" i="1" s="1"/>
  <c r="E13" i="1"/>
  <c r="H13" i="1" s="1"/>
  <c r="N12" i="1"/>
  <c r="M12" i="1"/>
  <c r="L12" i="1"/>
  <c r="H12" i="1"/>
  <c r="M11" i="1"/>
  <c r="L11" i="1"/>
  <c r="J11" i="1"/>
  <c r="H11" i="1"/>
  <c r="N11" i="1" s="1"/>
  <c r="N10" i="1"/>
  <c r="L10" i="1"/>
  <c r="M10" i="1" s="1"/>
  <c r="H10" i="1"/>
  <c r="L9" i="1"/>
  <c r="J9" i="1"/>
  <c r="M9" i="1" s="1"/>
  <c r="M14" i="1" s="1"/>
  <c r="H9" i="1"/>
  <c r="N9" i="1" s="1"/>
  <c r="L8" i="1"/>
  <c r="J8" i="1"/>
  <c r="M8" i="1" s="1"/>
  <c r="H8" i="1"/>
  <c r="N8" i="1" s="1"/>
  <c r="P7" i="1"/>
  <c r="N7" i="1"/>
  <c r="M7" i="1"/>
  <c r="L7" i="1"/>
  <c r="H7" i="1"/>
  <c r="M6" i="1"/>
  <c r="L6" i="1"/>
  <c r="J6" i="1"/>
  <c r="C6" i="1"/>
  <c r="H6" i="1" s="1"/>
  <c r="N6" i="1" s="1"/>
  <c r="L5" i="1"/>
  <c r="J5" i="1"/>
  <c r="M5" i="1" s="1"/>
  <c r="F5" i="1"/>
  <c r="F14" i="1" s="1"/>
  <c r="N4" i="1"/>
  <c r="L4" i="1"/>
  <c r="L14" i="1" s="1"/>
  <c r="H79" i="1" s="1"/>
  <c r="J4" i="1"/>
  <c r="M4" i="1" s="1"/>
  <c r="H4" i="1"/>
  <c r="H85" i="1" l="1"/>
  <c r="J85" i="1" s="1"/>
  <c r="J44" i="1"/>
  <c r="N41" i="1"/>
  <c r="O41" i="1" s="1"/>
  <c r="H86" i="1"/>
  <c r="L18" i="1"/>
  <c r="L19" i="1" s="1"/>
  <c r="C14" i="1"/>
  <c r="H83" i="1" s="1"/>
  <c r="L59" i="1"/>
  <c r="N13" i="1"/>
  <c r="L69" i="1"/>
  <c r="I50" i="1"/>
  <c r="L64" i="1"/>
  <c r="N65" i="1"/>
  <c r="N68" i="1" s="1"/>
  <c r="F95" i="1"/>
  <c r="E104" i="1"/>
  <c r="D104" i="1"/>
  <c r="P4" i="1"/>
  <c r="P14" i="1" s="1"/>
  <c r="E14" i="1"/>
  <c r="H82" i="1" s="1"/>
  <c r="J14" i="1"/>
  <c r="H77" i="1" s="1"/>
  <c r="L20" i="1"/>
  <c r="N20" i="1" s="1"/>
  <c r="J56" i="1"/>
  <c r="L56" i="1" s="1"/>
  <c r="J62" i="1"/>
  <c r="L62" i="1" s="1"/>
  <c r="H5" i="1"/>
  <c r="N5" i="1" s="1"/>
  <c r="N14" i="1" s="1"/>
  <c r="J72" i="1" l="1"/>
  <c r="L70" i="1" s="1"/>
  <c r="G92" i="1"/>
  <c r="J68" i="1"/>
  <c r="L66" i="1" s="1"/>
  <c r="H80" i="1"/>
  <c r="I79" i="1"/>
  <c r="L44" i="1"/>
  <c r="M47" i="1"/>
  <c r="J52" i="1"/>
  <c r="H14" i="1"/>
  <c r="H87" i="1"/>
  <c r="G94" i="1" l="1"/>
  <c r="I37" i="1" s="1"/>
  <c r="I39" i="1" s="1"/>
  <c r="I40" i="1" s="1"/>
  <c r="G93" i="1"/>
  <c r="G95" i="1" s="1"/>
  <c r="H88" i="1"/>
  <c r="I48" i="1" l="1"/>
  <c r="I47" i="1" s="1"/>
  <c r="I49" i="1" s="1"/>
  <c r="P56" i="1" s="1"/>
  <c r="Q56" i="1" s="1"/>
  <c r="I46" i="1"/>
  <c r="I52" i="1" l="1"/>
  <c r="L43" i="1"/>
  <c r="L47" i="1"/>
  <c r="J46" i="1"/>
  <c r="N43" i="1" l="1"/>
  <c r="L46" i="1"/>
  <c r="P65" i="1"/>
  <c r="H89" i="1"/>
  <c r="H90" i="1" s="1"/>
  <c r="I90" i="1" s="1"/>
  <c r="N47" i="1"/>
  <c r="M43" i="1"/>
  <c r="N15" i="1"/>
  <c r="P5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H90" authorId="0" shapeId="0" xr:uid="{A89D89C2-7526-42D3-B860-AAE3FF4E805C}">
      <text>
        <r>
          <rPr>
            <b/>
            <sz val="8"/>
            <color indexed="8"/>
            <rFont val="Tahoma"/>
            <family val="2"/>
          </rPr>
          <t xml:space="preserve">TORDA01:
</t>
        </r>
        <r>
          <rPr>
            <sz val="8"/>
            <color indexed="8"/>
            <rFont val="Tahoma"/>
            <family val="2"/>
          </rPr>
          <t>Differenza fta quantificazione e liquidazione</t>
        </r>
      </text>
    </comment>
  </commentList>
</comments>
</file>

<file path=xl/sharedStrings.xml><?xml version="1.0" encoding="utf-8"?>
<sst xmlns="http://schemas.openxmlformats.org/spreadsheetml/2006/main" count="143" uniqueCount="128">
  <si>
    <t>COMUNE DI SAN DAMIANO AL COLLE</t>
  </si>
  <si>
    <t>Nominativo</t>
  </si>
  <si>
    <t>Cat/AREA</t>
  </si>
  <si>
    <t>Responsabilità o funzione PL</t>
  </si>
  <si>
    <t>Indennità  x legge (incentivi Entrate IMU e TASI)</t>
  </si>
  <si>
    <t>Indennità condizioni lavoro da €.1 a €.10 al dì</t>
  </si>
  <si>
    <t xml:space="preserve">Performance individuale </t>
  </si>
  <si>
    <t xml:space="preserve">30% media Performance individuale (art.69 CCNL 21.5.18) </t>
  </si>
  <si>
    <t>TOTALE  SPESA VARIABILE</t>
  </si>
  <si>
    <t>Posizione economica</t>
  </si>
  <si>
    <t>Indennità di comparto</t>
  </si>
  <si>
    <t>TOTALE SPESA FISSA</t>
  </si>
  <si>
    <t>Totale</t>
  </si>
  <si>
    <t>Peo ccnl 2016-2018</t>
  </si>
  <si>
    <t>Diferenziale incremento fondo</t>
  </si>
  <si>
    <t>C3-IS</t>
  </si>
  <si>
    <t>B3/5-0P.ES</t>
  </si>
  <si>
    <t>C6-IS</t>
  </si>
  <si>
    <t>D1-F</t>
  </si>
  <si>
    <t>B3-OP.ES</t>
  </si>
  <si>
    <t>TOTALI</t>
  </si>
  <si>
    <t>—</t>
  </si>
  <si>
    <t>PARTE FISSA:</t>
  </si>
  <si>
    <t xml:space="preserve">Risorse anno 2004 aventi carattere di certezza, stabilità e continuità </t>
  </si>
  <si>
    <t xml:space="preserve"> IMPORTO UNICO CONSOLIDATO  </t>
  </si>
  <si>
    <t>Incremento art. 32 c. 1 - 0,62 % monte salari 2001</t>
  </si>
  <si>
    <t>Incremento art. 32 c. 2 - 0,50 % monte salari 2001</t>
  </si>
  <si>
    <t xml:space="preserve"> Ccnl  22.01.04 art.32, c.7 = 0,20% monte salari 2001</t>
  </si>
  <si>
    <t xml:space="preserve">39% </t>
  </si>
  <si>
    <t xml:space="preserve">Incremento art. 4 c. 1,  0,5 % monte salari 2003 </t>
  </si>
  <si>
    <t>CCNL 11.4.08 Incremento art. 8 c. 2 = 0,6 % monte salari 2005</t>
  </si>
  <si>
    <t xml:space="preserve">RIA E ASSEGNI AD PERSONAM PERSONALE CESSATO - (ART. 4, C.2, CCNL 2000-01) (ART. 67 C.3 Lett. c) CCNL 2016-18: IMP. INTERO ANNO </t>
  </si>
  <si>
    <t xml:space="preserve">Incremento CCNL 31.07.09- Riqualificazione posizioni economiche </t>
  </si>
  <si>
    <t xml:space="preserve">TOT. PARTE FISSA </t>
  </si>
  <si>
    <t>PARTE VARIABILE:</t>
  </si>
  <si>
    <t>(ART.15, C.5, CCNL 1998-2001 PARTE VARIABILE) (ART. 67 C.5 - Integrazione per progetti</t>
  </si>
  <si>
    <t>INTEGRAZIONE 1,2% m.s.1997 - (ART. 15, C.2, CCNL 1998-2001)  (ART. 67 C.3 Lett.h) e C.4 CCNL 2016-18) SOLO VERIFICA SUSSISTENZA RELATIVA CAPACITA' DI SPESA</t>
  </si>
  <si>
    <t>TOT PARTE FISSA E VARIABILE SENZA RIDUZIONI</t>
  </si>
  <si>
    <t>RIDUZIONI SU FONDO:</t>
  </si>
  <si>
    <t>Art.9 c2 bis della L.122/2010 così come integrato dalla L.147/2013 - Ultimo periodo Decurtazione fondo anno 2014</t>
  </si>
  <si>
    <t>%RIDUZIONE FONDO</t>
  </si>
  <si>
    <t>RIDUZIONI Art. 1 c.236 L.208/2015 - divieto di superamento fondo 2015/2016 (fatto salvo istituti neutralizzati) e riduzione per cessazioni dipendenti:</t>
  </si>
  <si>
    <t>Art. 1 c.236 L.208/2015 -riduzione per cessazioni dipendenti anno 2015/2016</t>
  </si>
  <si>
    <t>Decurtazione fondo x straodinari</t>
  </si>
  <si>
    <t>PARTE FISSA  + PARTE VARIABILE SENZA DECURTAZIONE ART.23 E SENZA RIDUZIONE X PO</t>
  </si>
  <si>
    <t xml:space="preserve">DECURTAZIONI  ART. 23 COMMA 2 DEL D.LGS. 75/2017 X TETTO 2016 COMPRENSIVO CALCOLO PO </t>
  </si>
  <si>
    <t>QUANTIFICAZIONE FONDO 2016 DA NON SUPERARE + PO 2016</t>
  </si>
  <si>
    <t>POSIZIONE</t>
  </si>
  <si>
    <t>RISULTATO</t>
  </si>
  <si>
    <t>TOTALE</t>
  </si>
  <si>
    <t>ANNO</t>
  </si>
  <si>
    <t xml:space="preserve">FONDO P.O.  FINANZIATO DA  BILANCIO 2016 - AREA FINANZA e AMMINISTRATIVA </t>
  </si>
  <si>
    <t>ANNO 2016</t>
  </si>
  <si>
    <t>FONDO P.O.  FINANZIATO DA  BILANCIO 2017 - AREA FINANZA e AMMINISTRATIVA INDIVIDUATA MA NON ASSEGNATA</t>
  </si>
  <si>
    <t>ANNO 2017</t>
  </si>
  <si>
    <t>FONDO P.O.  FINANZIATO DA  BILANCIO 2018 AREA FINANZA e AMMINISTRATIVA</t>
  </si>
  <si>
    <t>ANNO 2018</t>
  </si>
  <si>
    <t>FONDO P.O.  FINANZIATO DA  BILANCIO 2018 AREA UTC</t>
  </si>
  <si>
    <t>FONDO P.O.  FINANZIATO DA  BILANCIO  2019-2020 AREA FINANZA e AMMINISTRATIVA</t>
  </si>
  <si>
    <t>ANNI 2019- 2020</t>
  </si>
  <si>
    <t>FONDO P.O.  FINANZIATO DA  BILANCIO  2019-2020 AREA UTC</t>
  </si>
  <si>
    <t>FONDO P.O.  FINANZIATO DA  BILANCIO  2021 AREA UTC</t>
  </si>
  <si>
    <t>ANNO 2021</t>
  </si>
  <si>
    <t>FONDO P.O.  FINANZIATO DA  BILANCIO  2021 AREA FINANZA e AMMINISTRATIVA</t>
  </si>
  <si>
    <t>FONDO P.O.  FINANZIATO DA  BILANCIO  2022 AREA UTC</t>
  </si>
  <si>
    <t>ANNO 2022</t>
  </si>
  <si>
    <t>FONDO P.O.  FINANZIATO DA  BILANCIO  2022 AREA FINANZA e AMMINISTRATIVA</t>
  </si>
  <si>
    <t>FONDO P.O.  FINANZIATO DA  BILANCIO  2023 AREA UTC</t>
  </si>
  <si>
    <t>ANNO 2023</t>
  </si>
  <si>
    <t>FONDO P.O.  FINANZIATO DA  BILANCIO  2023 AREA FINANZA e AMMINISTRATIVA</t>
  </si>
  <si>
    <t>AUMENTO PO CON RIDUZIONE CAPACITA' ASSUNZIONALI ART.11 BIS L.12/2019 Diff. 2016-2023 CON FUORI FONDO</t>
  </si>
  <si>
    <t>SPESA FISSA</t>
  </si>
  <si>
    <t xml:space="preserve">Posizioni economiche </t>
  </si>
  <si>
    <t>Indennità di comparto a valere sul fondo</t>
  </si>
  <si>
    <t>TOT SPESA FISSA</t>
  </si>
  <si>
    <t>amedeo</t>
  </si>
  <si>
    <t>SPESA VARIABILE</t>
  </si>
  <si>
    <t>Indennità condizioni lavoro</t>
  </si>
  <si>
    <t>Ind. responsabilità</t>
  </si>
  <si>
    <t xml:space="preserve">istat </t>
  </si>
  <si>
    <t>Incentivi x legge : INCENTIVI ENTRATE</t>
  </si>
  <si>
    <t>Produttività</t>
  </si>
  <si>
    <t>TOT SPESA VARIABILE</t>
  </si>
  <si>
    <t>TOT con ECONOMIE</t>
  </si>
  <si>
    <t>ART.79 C.3 CCNL 2029-2021</t>
  </si>
  <si>
    <t>PO 2021</t>
  </si>
  <si>
    <t>FONDO 2021</t>
  </si>
  <si>
    <t>TOT</t>
  </si>
  <si>
    <t xml:space="preserve">AUMENTI CONTRATTUALI </t>
  </si>
  <si>
    <t>CCNL 2019-2021</t>
  </si>
  <si>
    <t>CONTO ANNUALE 2018 DIPENDENTI</t>
  </si>
  <si>
    <t>AUMENTI CCNL 2019-2021</t>
  </si>
  <si>
    <t>tab 12 eslusi S.C</t>
  </si>
  <si>
    <t xml:space="preserve">Tab 13 eslusi S.C. </t>
  </si>
  <si>
    <t>TAB 14 T.D.</t>
  </si>
  <si>
    <t>OMISSIS</t>
  </si>
  <si>
    <t>TABELLA RIEPILOGATIVA PREVISIONE SUDDIVISIONE FONDO  2024</t>
  </si>
  <si>
    <t>B3/4-0P.ES</t>
  </si>
  <si>
    <t>B3-0P.ES</t>
  </si>
  <si>
    <t>C2-IS</t>
  </si>
  <si>
    <t>PEO 2024</t>
  </si>
  <si>
    <t>C1-IS</t>
  </si>
  <si>
    <t>Economie x 2025</t>
  </si>
  <si>
    <t>QUANTIFICAZIONE FONDO ANNO 2024</t>
  </si>
  <si>
    <r>
      <rPr>
        <sz val="11"/>
        <rFont val="Times New Roman"/>
        <family val="1"/>
      </rPr>
      <t xml:space="preserve">RIDETERMINAZIONE PER INCREMENTO STIPENDIO - (ART. 67 C.2 Lett. b), CCNL 2016-18)   dichiarazione congiunta n. 5: </t>
    </r>
    <r>
      <rPr>
        <b/>
        <sz val="14"/>
        <rFont val="Times New Roman"/>
        <family val="1"/>
      </rPr>
      <t>fuori limite</t>
    </r>
    <r>
      <rPr>
        <sz val="11"/>
        <rFont val="Times New Roman"/>
        <family val="1"/>
      </rPr>
      <t xml:space="preserve"> gli incrementi derivanti da CCNL 16-18</t>
    </r>
  </si>
  <si>
    <r>
      <rPr>
        <sz val="11"/>
        <rFont val="Times New Roman"/>
        <family val="1"/>
      </rPr>
      <t xml:space="preserve">EURO 83,20 PER UNITA' DI PERSONALE IN SERVIZIO AL 31.12.2015 (n° 4), A VALERE DAL 2019 (ART 67 C.2 Lett.a) CCNL 2016-18)  dic. congiunta n. 5: </t>
    </r>
    <r>
      <rPr>
        <b/>
        <sz val="14"/>
        <rFont val="Times New Roman"/>
        <family val="1"/>
      </rPr>
      <t>fuori limite</t>
    </r>
  </si>
  <si>
    <r>
      <rPr>
        <sz val="11"/>
        <rFont val="Times New Roman"/>
        <family val="1"/>
      </rPr>
      <t xml:space="preserve">(ART 79 C.1 Lett.b) CCNL 2019-21)  - EURO 84,50 PER UNITA' DI PERSONALE IN SERVIZIO AL 31.12.2018 (n°.6) -  </t>
    </r>
    <r>
      <rPr>
        <b/>
        <sz val="11"/>
        <rFont val="Times New Roman"/>
        <family val="1"/>
      </rPr>
      <t>fuori limite</t>
    </r>
  </si>
  <si>
    <r>
      <t>Art. 79 c. 1-bis CCNL 2022 differenze stipendiali personale inquadrato in B3</t>
    </r>
    <r>
      <rPr>
        <b/>
        <sz val="11"/>
        <rFont val="Times New Roman"/>
        <family val="1"/>
      </rPr>
      <t xml:space="preserve"> (n.2+2x3hx4 mesi)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>Fuori limite</t>
    </r>
  </si>
  <si>
    <r>
      <rPr>
        <sz val="11"/>
        <rFont val="Times New Roman"/>
        <family val="1"/>
      </rPr>
      <t xml:space="preserve">ART 79 C.1 Lett.d) CCNL 2019-21) - RIDETERMINAZIONE PER INCREMENTO STIPENDIO </t>
    </r>
    <r>
      <rPr>
        <b/>
        <sz val="11"/>
        <rFont val="Times New Roman"/>
        <family val="1"/>
      </rPr>
      <t xml:space="preserve"> </t>
    </r>
    <r>
      <rPr>
        <b/>
        <sz val="14"/>
        <rFont val="Times New Roman"/>
        <family val="1"/>
      </rPr>
      <t>fuori limite</t>
    </r>
  </si>
  <si>
    <r>
      <rPr>
        <sz val="11"/>
        <rFont val="Times New Roman"/>
        <family val="1"/>
      </rPr>
      <t xml:space="preserve">ECONOMIE FONDO ANNO PRECEDENTE - (ART. 17, C.5, CCNL 1998-2001)  (ART. 68 C.1, ULTIMO PERIODO, CCNL 2016-18) </t>
    </r>
    <r>
      <rPr>
        <b/>
        <sz val="11"/>
        <rFont val="Times New Roman"/>
        <family val="1"/>
      </rPr>
      <t>FUORI LIMITE</t>
    </r>
  </si>
  <si>
    <r>
      <rPr>
        <sz val="11"/>
        <rFont val="Times New Roman"/>
        <family val="1"/>
      </rPr>
      <t xml:space="preserve">ECONOMIE FONDO STRAORDINARIO CONFLUITE - (ART. 14, C.4, CCNL 1998-2001)  (ART. 67 C.3 Lett.e) CCNL 2016-18) ANNO SUCCESSIVO </t>
    </r>
    <r>
      <rPr>
        <b/>
        <sz val="11"/>
        <rFont val="Times New Roman"/>
        <family val="1"/>
      </rPr>
      <t>FUORI LIMITE</t>
    </r>
  </si>
  <si>
    <r>
      <rPr>
        <sz val="11"/>
        <rFont val="Times New Roman"/>
        <family val="1"/>
      </rPr>
      <t xml:space="preserve">ART. 67 C.2 Lett. c), CCNL 2016-18- INCENTIVI ENTRATE IMUe TASI </t>
    </r>
    <r>
      <rPr>
        <b/>
        <sz val="11"/>
        <rFont val="Times New Roman"/>
        <family val="1"/>
      </rPr>
      <t>FUORI LIMITE</t>
    </r>
  </si>
  <si>
    <r>
      <t xml:space="preserve">Art.79 c.3 CCNL 2019-2021 0,22% ms 2018 in proporzione fra fondo e PO 2024 </t>
    </r>
    <r>
      <rPr>
        <b/>
        <sz val="11"/>
        <rFont val="Times New Roman"/>
        <family val="1"/>
      </rPr>
      <t>FUORI LIMITE</t>
    </r>
  </si>
  <si>
    <r>
      <rPr>
        <sz val="11"/>
        <rFont val="Times New Roman"/>
        <family val="1"/>
      </rPr>
      <t xml:space="preserve">(ART 79 C.1 Lett.b) CCNL 2019-21)  - EURO 84,50 PER UNITA' DI PERSONALE IN SERVIZIO AL 31.12.2018 (n°6), A VALERE RETROATTIVO DAL 2021 </t>
    </r>
    <r>
      <rPr>
        <b/>
        <sz val="11"/>
        <rFont val="Times New Roman"/>
        <family val="1"/>
      </rPr>
      <t>UNA TANTUM -  fuori limite</t>
    </r>
  </si>
  <si>
    <t>TOT. PARTE VARIABILE 2024</t>
  </si>
  <si>
    <t>PARTE FISSA  + PARTE VARIABILE SU CUI CALCOLARE DECURTAZIONE FONDO escluso Fuori limite con PO 2024</t>
  </si>
  <si>
    <t>PARTE FISSA  + PARTE VARIABILE SU CUI CALCOLARE DECURTAZIONE FONDO escluso Fuori limite SENZA PO 2024</t>
  </si>
  <si>
    <t>QUANTIFICAZIONE FONDO 2016 DA NON SUPERARE SENZA PO 2024</t>
  </si>
  <si>
    <t>TOT.  FONDO DISPONIBILE 2024 con eventuale DECURTAZIONE</t>
  </si>
  <si>
    <r>
      <rPr>
        <sz val="10"/>
        <rFont val="Times New Roman"/>
        <family val="1"/>
      </rPr>
      <t xml:space="preserve">INCREMENTO RISULTATO art.79 c.3 ccnl 20219-2021 </t>
    </r>
    <r>
      <rPr>
        <b/>
        <sz val="12"/>
        <rFont val="Times New Roman"/>
        <family val="1"/>
      </rPr>
      <t>FUORI FONDO</t>
    </r>
    <r>
      <rPr>
        <sz val="10"/>
        <rFont val="Times New Roman"/>
        <family val="1"/>
      </rPr>
      <t xml:space="preserve"> 2023</t>
    </r>
  </si>
  <si>
    <t>ANNO 2024</t>
  </si>
  <si>
    <r>
      <t xml:space="preserve">INCREMENTO RISULTATO art.79 c.3 ccnl 20219-2021 </t>
    </r>
    <r>
      <rPr>
        <b/>
        <sz val="12"/>
        <rFont val="Times New Roman"/>
        <family val="1"/>
      </rPr>
      <t>FUORI FONDO</t>
    </r>
    <r>
      <rPr>
        <sz val="10"/>
        <rFont val="Times New Roman"/>
        <family val="1"/>
      </rPr>
      <t xml:space="preserve"> 2024</t>
    </r>
  </si>
  <si>
    <t>AUMENTO PO CON RIDUZIONE CAPACITA' ASSUNZIONALI ART.11 BIS L.12/2019 Diff. 2016-2024 CON FUORI FONDO</t>
  </si>
  <si>
    <t>RIPARTIZIONE FONDO ANNO 2024</t>
  </si>
  <si>
    <t>TOT. RIPARTIZIONE FONDO 2024</t>
  </si>
  <si>
    <t>ECONOMIE x 2025</t>
  </si>
  <si>
    <t>x fondo e PO 2024</t>
  </si>
  <si>
    <t>x PV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</si>
</sst>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5" formatCode="_-[$€-2]\ * #,##0.00_-;\-[$€-2]\ * #,##0.00_-;_-[$€-2]\ * &quot;-&quot;??_-"/>
    <numFmt numFmtId="169" formatCode="&quot;€ &quot;#,##0.00"/>
    <numFmt numFmtId="170" formatCode="_-[$€-2]\ * #,##0.00_-;\-[$€-2]\ * #,##0.00_-;_-[$€-2]\ * \-??_-"/>
    <numFmt numFmtId="171" formatCode="_-[$€-2]\ * #,##0.00_-;\-[$€-2]\ * #,##0.00_-;_-[$€-2]\ * \-??_-;_-@_-"/>
    <numFmt numFmtId="172" formatCode="_-* #,##0.00_-;\-* #,##0.00_-;_-* \-??_-;_-@_-"/>
    <numFmt numFmtId="173" formatCode="_-&quot;€ &quot;* #,##0.00_-;&quot;-€ &quot;* #,##0.00_-;_-&quot;€ &quot;* \-??_-;_-@_-"/>
    <numFmt numFmtId="174" formatCode="_-* #,##0.00\ _€_-;\-* #,##0.00\ _€_-;_-* \-??\ _€_-;_-@_-"/>
    <numFmt numFmtId="175" formatCode="_-* #,##0.00&quot; €&quot;_-;\-* #,##0.00&quot; €&quot;_-;_-* \-??&quot; €&quot;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color indexed="10"/>
      <name val="Times New Roman"/>
      <family val="1"/>
    </font>
    <font>
      <sz val="10"/>
      <color indexed="10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color theme="0"/>
      <name val="Times New Roman"/>
      <family val="1"/>
    </font>
    <font>
      <sz val="11"/>
      <name val="Times New Roman"/>
      <family val="1"/>
    </font>
    <font>
      <sz val="9"/>
      <color theme="0"/>
      <name val="Times New Roman"/>
      <family val="1"/>
    </font>
    <font>
      <sz val="8"/>
      <name val="Times New Roman"/>
      <family val="1"/>
    </font>
    <font>
      <b/>
      <sz val="10"/>
      <color theme="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9"/>
      <color theme="0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b/>
      <sz val="13"/>
      <name val="Times New Roman"/>
      <family val="1"/>
    </font>
    <font>
      <sz val="9"/>
      <name val="Arial"/>
      <family val="2"/>
    </font>
    <font>
      <sz val="11"/>
      <color indexed="8"/>
      <name val="Calibri"/>
      <family val="2"/>
    </font>
    <font>
      <b/>
      <sz val="9"/>
      <color indexed="10"/>
      <name val="Times New Roman"/>
      <family val="1"/>
    </font>
    <font>
      <b/>
      <sz val="9"/>
      <color rgb="FFFF0000"/>
      <name val="Times New Roman"/>
      <family val="1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</cellStyleXfs>
  <cellXfs count="25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8" fillId="0" borderId="0" xfId="0" applyNumberFormat="1" applyFont="1" applyAlignment="1">
      <alignment horizontal="center" vertical="top" wrapText="1"/>
    </xf>
    <xf numFmtId="4" fontId="10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right" wrapText="1"/>
    </xf>
    <xf numFmtId="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 wrapText="1"/>
    </xf>
    <xf numFmtId="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left" wrapText="1"/>
    </xf>
    <xf numFmtId="10" fontId="3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69" fontId="3" fillId="0" borderId="13" xfId="0" applyNumberFormat="1" applyFont="1" applyBorder="1" applyAlignment="1">
      <alignment horizontal="center" vertical="center" wrapText="1"/>
    </xf>
    <xf numFmtId="169" fontId="8" fillId="0" borderId="13" xfId="0" applyNumberFormat="1" applyFont="1" applyBorder="1" applyAlignment="1">
      <alignment horizontal="center" vertical="center" wrapText="1"/>
    </xf>
    <xf numFmtId="165" fontId="3" fillId="0" borderId="13" xfId="3" applyFont="1" applyFill="1" applyBorder="1" applyAlignment="1" applyProtection="1">
      <alignment horizontal="center" vertical="center" wrapText="1"/>
    </xf>
    <xf numFmtId="165" fontId="3" fillId="0" borderId="14" xfId="3" applyFont="1" applyFill="1" applyBorder="1" applyAlignment="1" applyProtection="1">
      <alignment horizontal="center" vertical="center"/>
    </xf>
    <xf numFmtId="165" fontId="3" fillId="0" borderId="15" xfId="3" applyFont="1" applyFill="1" applyBorder="1" applyAlignment="1" applyProtection="1">
      <alignment horizontal="center" vertical="center"/>
    </xf>
    <xf numFmtId="165" fontId="10" fillId="0" borderId="14" xfId="3" applyFont="1" applyFill="1" applyBorder="1" applyAlignment="1" applyProtection="1">
      <alignment horizontal="center" vertical="center"/>
    </xf>
    <xf numFmtId="165" fontId="3" fillId="0" borderId="16" xfId="3" applyFont="1" applyFill="1" applyBorder="1" applyAlignment="1" applyProtection="1">
      <alignment horizontal="center" vertical="center"/>
    </xf>
    <xf numFmtId="165" fontId="3" fillId="0" borderId="17" xfId="3" applyFont="1" applyFill="1" applyBorder="1" applyAlignment="1" applyProtection="1">
      <alignment horizontal="center" vertical="center"/>
    </xf>
    <xf numFmtId="170" fontId="3" fillId="2" borderId="18" xfId="0" applyNumberFormat="1" applyFont="1" applyFill="1" applyBorder="1"/>
    <xf numFmtId="171" fontId="3" fillId="2" borderId="19" xfId="0" applyNumberFormat="1" applyFont="1" applyFill="1" applyBorder="1"/>
    <xf numFmtId="165" fontId="3" fillId="0" borderId="0" xfId="3" applyFont="1" applyFill="1" applyBorder="1" applyAlignment="1" applyProtection="1">
      <alignment horizontal="center" vertical="center"/>
    </xf>
    <xf numFmtId="43" fontId="4" fillId="0" borderId="0" xfId="1" applyFont="1" applyFill="1" applyBorder="1" applyAlignment="1" applyProtection="1">
      <alignment horizontal="center" vertical="center"/>
    </xf>
    <xf numFmtId="165" fontId="8" fillId="0" borderId="14" xfId="3" applyFont="1" applyFill="1" applyBorder="1" applyAlignment="1" applyProtection="1">
      <alignment horizontal="center" vertical="center"/>
    </xf>
    <xf numFmtId="0" fontId="24" fillId="0" borderId="0" xfId="0" applyFont="1" applyAlignment="1">
      <alignment vertical="center" wrapText="1"/>
    </xf>
    <xf numFmtId="4" fontId="10" fillId="0" borderId="20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165" fontId="3" fillId="0" borderId="15" xfId="3" applyFont="1" applyFill="1" applyBorder="1" applyAlignment="1" applyProtection="1">
      <alignment horizontal="center" vertical="center" wrapText="1"/>
    </xf>
    <xf numFmtId="165" fontId="3" fillId="0" borderId="12" xfId="3" applyFont="1" applyFill="1" applyBorder="1" applyAlignment="1" applyProtection="1">
      <alignment horizontal="center" vertical="center"/>
    </xf>
    <xf numFmtId="170" fontId="3" fillId="2" borderId="21" xfId="0" applyNumberFormat="1" applyFont="1" applyFill="1" applyBorder="1"/>
    <xf numFmtId="171" fontId="3" fillId="2" borderId="22" xfId="0" applyNumberFormat="1" applyFont="1" applyFill="1" applyBorder="1"/>
    <xf numFmtId="4" fontId="7" fillId="0" borderId="23" xfId="0" applyNumberFormat="1" applyFont="1" applyBorder="1" applyAlignment="1">
      <alignment horizontal="center" vertical="center" wrapText="1"/>
    </xf>
    <xf numFmtId="4" fontId="10" fillId="0" borderId="24" xfId="0" applyNumberFormat="1" applyFont="1" applyBorder="1" applyAlignment="1">
      <alignment horizontal="center" vertical="center" wrapText="1"/>
    </xf>
    <xf numFmtId="165" fontId="3" fillId="0" borderId="24" xfId="3" applyFont="1" applyFill="1" applyBorder="1" applyAlignment="1" applyProtection="1">
      <alignment horizontal="center" vertical="center" wrapText="1"/>
    </xf>
    <xf numFmtId="165" fontId="8" fillId="0" borderId="24" xfId="3" applyFont="1" applyFill="1" applyBorder="1" applyAlignment="1" applyProtection="1">
      <alignment horizontal="center" vertical="center" wrapText="1"/>
    </xf>
    <xf numFmtId="165" fontId="3" fillId="0" borderId="25" xfId="3" applyFont="1" applyFill="1" applyBorder="1" applyAlignment="1" applyProtection="1">
      <alignment horizontal="center" vertical="center" wrapText="1"/>
    </xf>
    <xf numFmtId="165" fontId="7" fillId="0" borderId="26" xfId="3" applyFont="1" applyFill="1" applyBorder="1" applyAlignment="1" applyProtection="1">
      <alignment horizontal="center" vertical="center" wrapText="1"/>
    </xf>
    <xf numFmtId="165" fontId="3" fillId="0" borderId="10" xfId="3" applyFont="1" applyFill="1" applyBorder="1" applyAlignment="1" applyProtection="1">
      <alignment horizontal="center" vertical="center" wrapText="1"/>
    </xf>
    <xf numFmtId="165" fontId="8" fillId="0" borderId="11" xfId="3" applyFont="1" applyFill="1" applyBorder="1" applyAlignment="1" applyProtection="1">
      <alignment horizontal="center" vertical="center" wrapText="1"/>
    </xf>
    <xf numFmtId="165" fontId="3" fillId="0" borderId="0" xfId="3" applyFont="1" applyFill="1" applyBorder="1" applyAlignment="1" applyProtection="1">
      <alignment horizontal="center" vertical="center" wrapText="1"/>
    </xf>
    <xf numFmtId="0" fontId="2" fillId="3" borderId="27" xfId="0" applyFont="1" applyFill="1" applyBorder="1" applyAlignment="1">
      <alignment vertical="center"/>
    </xf>
    <xf numFmtId="165" fontId="7" fillId="3" borderId="28" xfId="3" applyFont="1" applyFill="1" applyBorder="1" applyAlignment="1" applyProtection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0" fontId="2" fillId="3" borderId="29" xfId="0" applyFont="1" applyFill="1" applyBorder="1" applyAlignment="1">
      <alignment horizontal="left" vertical="center"/>
    </xf>
    <xf numFmtId="0" fontId="13" fillId="3" borderId="30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165" fontId="10" fillId="3" borderId="31" xfId="3" applyFont="1" applyFill="1" applyBorder="1" applyAlignment="1" applyProtection="1">
      <alignment horizontal="center" vertical="center"/>
    </xf>
    <xf numFmtId="0" fontId="13" fillId="4" borderId="32" xfId="0" applyFont="1" applyFill="1" applyBorder="1" applyAlignment="1">
      <alignment horizontal="left" vertical="center" wrapText="1"/>
    </xf>
    <xf numFmtId="43" fontId="3" fillId="4" borderId="33" xfId="1" applyFont="1" applyFill="1" applyBorder="1" applyAlignment="1" applyProtection="1">
      <alignment horizontal="center" vertical="center"/>
    </xf>
    <xf numFmtId="2" fontId="15" fillId="3" borderId="5" xfId="0" applyNumberFormat="1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left" vertical="center"/>
    </xf>
    <xf numFmtId="0" fontId="13" fillId="4" borderId="30" xfId="0" applyFont="1" applyFill="1" applyBorder="1" applyAlignment="1">
      <alignment horizontal="left" vertical="center"/>
    </xf>
    <xf numFmtId="0" fontId="13" fillId="4" borderId="20" xfId="0" applyFont="1" applyFill="1" applyBorder="1" applyAlignment="1">
      <alignment horizontal="left" vertical="center"/>
    </xf>
    <xf numFmtId="165" fontId="10" fillId="4" borderId="34" xfId="3" applyFont="1" applyFill="1" applyBorder="1" applyAlignment="1" applyProtection="1">
      <alignment vertical="center"/>
    </xf>
    <xf numFmtId="0" fontId="13" fillId="4" borderId="29" xfId="0" applyFont="1" applyFill="1" applyBorder="1" applyAlignment="1">
      <alignment horizontal="left"/>
    </xf>
    <xf numFmtId="165" fontId="10" fillId="4" borderId="31" xfId="3" applyFont="1" applyFill="1" applyBorder="1" applyAlignment="1" applyProtection="1">
      <alignment horizontal="center" vertical="center"/>
    </xf>
    <xf numFmtId="0" fontId="13" fillId="4" borderId="32" xfId="0" applyFont="1" applyFill="1" applyBorder="1" applyAlignment="1">
      <alignment horizontal="left"/>
    </xf>
    <xf numFmtId="165" fontId="7" fillId="0" borderId="0" xfId="3" applyFont="1" applyFill="1" applyBorder="1" applyAlignment="1" applyProtection="1">
      <alignment horizontal="center" vertical="center" wrapText="1"/>
    </xf>
    <xf numFmtId="165" fontId="10" fillId="0" borderId="0" xfId="3" applyFont="1" applyFill="1" applyBorder="1" applyAlignment="1" applyProtection="1">
      <alignment horizontal="center" vertical="center" wrapText="1"/>
    </xf>
    <xf numFmtId="0" fontId="13" fillId="4" borderId="35" xfId="0" applyFont="1" applyFill="1" applyBorder="1" applyAlignment="1">
      <alignment horizontal="left" vertical="center" wrapText="1"/>
    </xf>
    <xf numFmtId="0" fontId="13" fillId="5" borderId="32" xfId="0" applyFont="1" applyFill="1" applyBorder="1" applyAlignment="1">
      <alignment horizontal="left" vertical="center" wrapText="1"/>
    </xf>
    <xf numFmtId="165" fontId="7" fillId="5" borderId="34" xfId="3" applyFont="1" applyFill="1" applyBorder="1" applyAlignment="1" applyProtection="1">
      <alignment vertical="center"/>
    </xf>
    <xf numFmtId="0" fontId="2" fillId="4" borderId="32" xfId="0" applyFont="1" applyFill="1" applyBorder="1" applyAlignment="1">
      <alignment horizontal="left" vertical="center"/>
    </xf>
    <xf numFmtId="165" fontId="18" fillId="4" borderId="31" xfId="3" applyFont="1" applyFill="1" applyBorder="1" applyAlignment="1" applyProtection="1">
      <alignment vertical="center"/>
    </xf>
    <xf numFmtId="165" fontId="7" fillId="4" borderId="31" xfId="3" applyFont="1" applyFill="1" applyBorder="1" applyAlignment="1" applyProtection="1">
      <alignment horizontal="center" vertical="center"/>
    </xf>
    <xf numFmtId="4" fontId="25" fillId="0" borderId="0" xfId="0" applyNumberFormat="1" applyFont="1" applyAlignment="1">
      <alignment horizontal="left" vertical="center"/>
    </xf>
    <xf numFmtId="4" fontId="26" fillId="0" borderId="0" xfId="0" applyNumberFormat="1" applyFont="1" applyAlignment="1">
      <alignment horizontal="center" vertical="center" wrapText="1"/>
    </xf>
    <xf numFmtId="0" fontId="13" fillId="5" borderId="32" xfId="0" applyFont="1" applyFill="1" applyBorder="1" applyAlignment="1">
      <alignment horizontal="left" wrapText="1"/>
    </xf>
    <xf numFmtId="165" fontId="7" fillId="5" borderId="31" xfId="3" applyFont="1" applyFill="1" applyBorder="1" applyAlignment="1" applyProtection="1">
      <alignment horizontal="center" vertical="center"/>
    </xf>
    <xf numFmtId="0" fontId="13" fillId="5" borderId="35" xfId="0" applyFont="1" applyFill="1" applyBorder="1" applyAlignment="1">
      <alignment horizontal="left" wrapText="1"/>
    </xf>
    <xf numFmtId="0" fontId="2" fillId="4" borderId="32" xfId="0" applyFont="1" applyFill="1" applyBorder="1" applyAlignment="1">
      <alignment horizontal="left" vertical="center" wrapText="1"/>
    </xf>
    <xf numFmtId="165" fontId="18" fillId="4" borderId="31" xfId="3" applyFont="1" applyFill="1" applyBorder="1" applyAlignment="1" applyProtection="1">
      <alignment horizontal="center" vertical="center"/>
    </xf>
    <xf numFmtId="0" fontId="17" fillId="4" borderId="32" xfId="0" applyFont="1" applyFill="1" applyBorder="1" applyAlignment="1">
      <alignment horizontal="left" vertical="center" wrapText="1"/>
    </xf>
    <xf numFmtId="0" fontId="17" fillId="3" borderId="27" xfId="0" applyFont="1" applyFill="1" applyBorder="1" applyAlignment="1">
      <alignment horizontal="left" vertical="center" wrapText="1"/>
    </xf>
    <xf numFmtId="165" fontId="20" fillId="3" borderId="28" xfId="3" applyFont="1" applyFill="1" applyBorder="1" applyAlignment="1" applyProtection="1">
      <alignment horizontal="center" vertical="center"/>
    </xf>
    <xf numFmtId="0" fontId="2" fillId="0" borderId="36" xfId="0" applyFont="1" applyBorder="1" applyAlignment="1">
      <alignment horizontal="left" vertical="center" wrapText="1"/>
    </xf>
    <xf numFmtId="165" fontId="20" fillId="0" borderId="34" xfId="3" applyFont="1" applyFill="1" applyBorder="1" applyAlignment="1" applyProtection="1">
      <alignment horizontal="center" vertical="center"/>
    </xf>
    <xf numFmtId="0" fontId="18" fillId="3" borderId="27" xfId="0" applyFont="1" applyFill="1" applyBorder="1" applyAlignment="1">
      <alignment horizontal="left" vertical="center" wrapText="1"/>
    </xf>
    <xf numFmtId="0" fontId="18" fillId="2" borderId="32" xfId="0" applyFont="1" applyFill="1" applyBorder="1" applyAlignment="1">
      <alignment horizontal="left" vertical="center" wrapText="1"/>
    </xf>
    <xf numFmtId="165" fontId="20" fillId="0" borderId="31" xfId="3" applyFont="1" applyFill="1" applyBorder="1" applyAlignment="1" applyProtection="1">
      <alignment horizontal="center" vertical="center"/>
    </xf>
    <xf numFmtId="165" fontId="18" fillId="4" borderId="19" xfId="3" applyFont="1" applyFill="1" applyBorder="1" applyAlignment="1" applyProtection="1">
      <alignment horizontal="center" vertical="center"/>
    </xf>
    <xf numFmtId="165" fontId="18" fillId="6" borderId="31" xfId="3" applyFont="1" applyFill="1" applyBorder="1" applyAlignment="1" applyProtection="1">
      <alignment horizontal="center" vertical="center"/>
    </xf>
    <xf numFmtId="165" fontId="18" fillId="5" borderId="22" xfId="3" applyFont="1" applyFill="1" applyBorder="1" applyAlignment="1" applyProtection="1">
      <alignment horizontal="center" vertical="center"/>
    </xf>
    <xf numFmtId="0" fontId="18" fillId="2" borderId="32" xfId="0" applyFont="1" applyFill="1" applyBorder="1" applyAlignment="1">
      <alignment vertical="center" wrapText="1"/>
    </xf>
    <xf numFmtId="165" fontId="18" fillId="6" borderId="34" xfId="3" applyFont="1" applyFill="1" applyBorder="1" applyAlignment="1" applyProtection="1">
      <alignment horizontal="center" vertical="center"/>
    </xf>
    <xf numFmtId="0" fontId="2" fillId="4" borderId="37" xfId="0" applyFont="1" applyFill="1" applyBorder="1" applyAlignment="1">
      <alignment horizontal="left" vertical="center" wrapText="1"/>
    </xf>
    <xf numFmtId="165" fontId="18" fillId="6" borderId="5" xfId="3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  <xf numFmtId="165" fontId="18" fillId="5" borderId="38" xfId="3" applyFont="1" applyFill="1" applyBorder="1" applyAlignment="1" applyProtection="1">
      <alignment horizontal="center" vertical="center"/>
    </xf>
    <xf numFmtId="171" fontId="3" fillId="0" borderId="0" xfId="0" applyNumberFormat="1" applyFont="1" applyAlignment="1">
      <alignment horizontal="left" vertical="center"/>
    </xf>
    <xf numFmtId="0" fontId="22" fillId="4" borderId="26" xfId="0" applyFont="1" applyFill="1" applyBorder="1" applyAlignment="1">
      <alignment horizontal="left" vertical="center"/>
    </xf>
    <xf numFmtId="165" fontId="18" fillId="4" borderId="5" xfId="3" applyFont="1" applyFill="1" applyBorder="1" applyAlignment="1" applyProtection="1">
      <alignment horizontal="center" vertical="center"/>
    </xf>
    <xf numFmtId="0" fontId="17" fillId="0" borderId="39" xfId="0" applyFont="1" applyBorder="1" applyAlignment="1">
      <alignment horizontal="left" vertical="center"/>
    </xf>
    <xf numFmtId="173" fontId="8" fillId="0" borderId="5" xfId="0" applyNumberFormat="1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7" xfId="0" applyFont="1" applyBorder="1"/>
    <xf numFmtId="2" fontId="8" fillId="0" borderId="5" xfId="0" applyNumberFormat="1" applyFont="1" applyBorder="1" applyAlignment="1">
      <alignment vertical="center" wrapText="1"/>
    </xf>
    <xf numFmtId="2" fontId="8" fillId="0" borderId="42" xfId="0" applyNumberFormat="1" applyFont="1" applyBorder="1" applyAlignment="1">
      <alignment vertical="center" wrapText="1"/>
    </xf>
    <xf numFmtId="165" fontId="8" fillId="2" borderId="5" xfId="3" applyFont="1" applyFill="1" applyBorder="1" applyAlignment="1" applyProtection="1">
      <alignment horizontal="center" vertical="center" wrapText="1"/>
    </xf>
    <xf numFmtId="171" fontId="8" fillId="0" borderId="7" xfId="0" applyNumberFormat="1" applyFont="1" applyBorder="1" applyAlignment="1">
      <alignment vertical="center" wrapText="1"/>
    </xf>
    <xf numFmtId="171" fontId="8" fillId="0" borderId="43" xfId="0" applyNumberFormat="1" applyFont="1" applyBorder="1" applyAlignment="1">
      <alignment vertical="center" wrapText="1"/>
    </xf>
    <xf numFmtId="4" fontId="8" fillId="0" borderId="40" xfId="0" applyNumberFormat="1" applyFont="1" applyBorder="1" applyAlignment="1">
      <alignment horizontal="center" vertical="center" wrapText="1"/>
    </xf>
    <xf numFmtId="2" fontId="8" fillId="0" borderId="44" xfId="0" applyNumberFormat="1" applyFont="1" applyBorder="1" applyAlignment="1">
      <alignment vertical="center" wrapText="1"/>
    </xf>
    <xf numFmtId="171" fontId="8" fillId="0" borderId="0" xfId="0" applyNumberFormat="1" applyFont="1" applyAlignment="1">
      <alignment vertical="center" wrapText="1"/>
    </xf>
    <xf numFmtId="171" fontId="8" fillId="0" borderId="4" xfId="0" applyNumberFormat="1" applyFont="1" applyBorder="1" applyAlignment="1">
      <alignment vertical="center" wrapText="1"/>
    </xf>
    <xf numFmtId="2" fontId="8" fillId="0" borderId="45" xfId="0" applyNumberFormat="1" applyFont="1" applyBorder="1" applyAlignment="1">
      <alignment vertical="center" wrapText="1"/>
    </xf>
    <xf numFmtId="165" fontId="8" fillId="2" borderId="46" xfId="3" applyFont="1" applyFill="1" applyBorder="1" applyAlignment="1" applyProtection="1">
      <alignment horizontal="center" vertical="center" wrapText="1"/>
    </xf>
    <xf numFmtId="171" fontId="8" fillId="0" borderId="47" xfId="0" applyNumberFormat="1" applyFont="1" applyBorder="1" applyAlignment="1">
      <alignment vertical="center" wrapText="1"/>
    </xf>
    <xf numFmtId="171" fontId="8" fillId="0" borderId="48" xfId="0" applyNumberFormat="1" applyFont="1" applyBorder="1" applyAlignment="1">
      <alignment vertical="center" wrapText="1"/>
    </xf>
    <xf numFmtId="4" fontId="8" fillId="0" borderId="40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8" fillId="0" borderId="29" xfId="0" applyNumberFormat="1" applyFont="1" applyBorder="1" applyAlignment="1">
      <alignment vertical="center" wrapText="1"/>
    </xf>
    <xf numFmtId="165" fontId="8" fillId="2" borderId="12" xfId="3" applyFont="1" applyFill="1" applyBorder="1" applyAlignment="1" applyProtection="1">
      <alignment horizontal="center" vertical="center" wrapText="1"/>
    </xf>
    <xf numFmtId="171" fontId="8" fillId="0" borderId="30" xfId="0" applyNumberFormat="1" applyFont="1" applyBorder="1" applyAlignment="1">
      <alignment vertical="center" wrapText="1"/>
    </xf>
    <xf numFmtId="2" fontId="8" fillId="0" borderId="49" xfId="0" applyNumberFormat="1" applyFont="1" applyBorder="1" applyAlignment="1">
      <alignment vertical="center" wrapText="1"/>
    </xf>
    <xf numFmtId="165" fontId="8" fillId="2" borderId="37" xfId="3" applyFont="1" applyFill="1" applyBorder="1" applyAlignment="1" applyProtection="1">
      <alignment horizontal="center" vertical="center" wrapText="1"/>
    </xf>
    <xf numFmtId="171" fontId="8" fillId="0" borderId="50" xfId="0" applyNumberFormat="1" applyFont="1" applyBorder="1" applyAlignment="1">
      <alignment vertical="center" wrapText="1"/>
    </xf>
    <xf numFmtId="171" fontId="8" fillId="0" borderId="51" xfId="0" applyNumberFormat="1" applyFont="1" applyBorder="1" applyAlignment="1">
      <alignment vertical="center" wrapText="1"/>
    </xf>
    <xf numFmtId="4" fontId="8" fillId="0" borderId="52" xfId="0" applyNumberFormat="1" applyFont="1" applyBorder="1" applyAlignment="1">
      <alignment horizontal="center" vertical="center" wrapText="1"/>
    </xf>
    <xf numFmtId="171" fontId="8" fillId="0" borderId="53" xfId="0" applyNumberFormat="1" applyFont="1" applyBorder="1" applyAlignment="1">
      <alignment vertical="center" wrapText="1"/>
    </xf>
    <xf numFmtId="171" fontId="8" fillId="0" borderId="2" xfId="0" applyNumberFormat="1" applyFont="1" applyBorder="1" applyAlignment="1">
      <alignment vertical="center" wrapText="1"/>
    </xf>
    <xf numFmtId="171" fontId="8" fillId="0" borderId="5" xfId="0" applyNumberFormat="1" applyFont="1" applyBorder="1" applyAlignment="1">
      <alignment vertical="center" wrapText="1"/>
    </xf>
    <xf numFmtId="171" fontId="8" fillId="0" borderId="54" xfId="0" applyNumberFormat="1" applyFont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 wrapText="1"/>
    </xf>
    <xf numFmtId="171" fontId="8" fillId="0" borderId="3" xfId="0" applyNumberFormat="1" applyFont="1" applyBorder="1" applyAlignment="1">
      <alignment vertical="center" wrapText="1"/>
    </xf>
    <xf numFmtId="171" fontId="8" fillId="0" borderId="42" xfId="0" applyNumberFormat="1" applyFont="1" applyBorder="1" applyAlignment="1">
      <alignment vertical="center" wrapText="1"/>
    </xf>
    <xf numFmtId="171" fontId="8" fillId="0" borderId="55" xfId="0" applyNumberFormat="1" applyFont="1" applyBorder="1" applyAlignment="1">
      <alignment vertical="center" wrapText="1"/>
    </xf>
    <xf numFmtId="2" fontId="3" fillId="5" borderId="53" xfId="0" applyNumberFormat="1" applyFont="1" applyFill="1" applyBorder="1" applyAlignment="1">
      <alignment horizontal="left" vertical="center" wrapText="1"/>
    </xf>
    <xf numFmtId="165" fontId="8" fillId="5" borderId="0" xfId="3" applyFont="1" applyFill="1" applyBorder="1" applyAlignment="1" applyProtection="1">
      <alignment horizontal="center" vertical="center" wrapText="1"/>
    </xf>
    <xf numFmtId="171" fontId="8" fillId="5" borderId="56" xfId="0" applyNumberFormat="1" applyFont="1" applyFill="1" applyBorder="1" applyAlignment="1">
      <alignment vertical="center" wrapText="1"/>
    </xf>
    <xf numFmtId="171" fontId="8" fillId="5" borderId="48" xfId="0" applyNumberFormat="1" applyFont="1" applyFill="1" applyBorder="1" applyAlignment="1">
      <alignment vertical="center" wrapText="1"/>
    </xf>
    <xf numFmtId="2" fontId="8" fillId="0" borderId="42" xfId="0" applyNumberFormat="1" applyFont="1" applyBorder="1" applyAlignment="1">
      <alignment horizontal="center" vertical="center" wrapText="1"/>
    </xf>
    <xf numFmtId="2" fontId="8" fillId="0" borderId="55" xfId="0" applyNumberFormat="1" applyFont="1" applyBorder="1" applyAlignment="1">
      <alignment horizontal="center" vertical="center" wrapText="1"/>
    </xf>
    <xf numFmtId="4" fontId="8" fillId="0" borderId="40" xfId="0" applyNumberFormat="1" applyFont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57" xfId="0" applyNumberFormat="1" applyFont="1" applyBorder="1" applyAlignment="1">
      <alignment horizontal="center" vertical="center" wrapText="1"/>
    </xf>
    <xf numFmtId="2" fontId="8" fillId="0" borderId="58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vertical="center" wrapText="1"/>
    </xf>
    <xf numFmtId="165" fontId="5" fillId="0" borderId="1" xfId="3" applyFont="1" applyFill="1" applyBorder="1" applyAlignment="1" applyProtection="1">
      <alignment horizontal="center" vertical="center"/>
    </xf>
    <xf numFmtId="0" fontId="2" fillId="0" borderId="39" xfId="0" applyFont="1" applyBorder="1" applyAlignment="1">
      <alignment horizontal="left" vertical="center"/>
    </xf>
    <xf numFmtId="165" fontId="7" fillId="0" borderId="0" xfId="3" applyFont="1" applyFill="1" applyBorder="1" applyAlignment="1" applyProtection="1">
      <alignment horizontal="center" vertical="center"/>
    </xf>
    <xf numFmtId="0" fontId="2" fillId="3" borderId="45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13" fillId="3" borderId="59" xfId="0" applyFont="1" applyFill="1" applyBorder="1" applyAlignment="1">
      <alignment horizontal="left" vertical="center"/>
    </xf>
    <xf numFmtId="0" fontId="13" fillId="3" borderId="60" xfId="0" applyFont="1" applyFill="1" applyBorder="1" applyAlignment="1">
      <alignment horizontal="left" vertical="center"/>
    </xf>
    <xf numFmtId="0" fontId="13" fillId="3" borderId="29" xfId="0" applyFont="1" applyFill="1" applyBorder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13" fillId="3" borderId="33" xfId="0" applyFont="1" applyFill="1" applyBorder="1" applyAlignment="1">
      <alignment horizontal="left" vertical="center"/>
    </xf>
    <xf numFmtId="165" fontId="10" fillId="0" borderId="0" xfId="3" applyFont="1" applyFill="1" applyBorder="1" applyAlignment="1" applyProtection="1">
      <alignment horizontal="center" vertical="center"/>
    </xf>
    <xf numFmtId="0" fontId="13" fillId="4" borderId="29" xfId="0" applyFont="1" applyFill="1" applyBorder="1" applyAlignment="1">
      <alignment horizontal="left" vertical="center"/>
    </xf>
    <xf numFmtId="0" fontId="13" fillId="4" borderId="53" xfId="0" applyFont="1" applyFill="1" applyBorder="1" applyAlignment="1">
      <alignment horizontal="left" vertical="center"/>
    </xf>
    <xf numFmtId="165" fontId="13" fillId="4" borderId="34" xfId="3" applyFont="1" applyFill="1" applyBorder="1" applyAlignment="1" applyProtection="1">
      <alignment horizontal="left" vertical="center"/>
    </xf>
    <xf numFmtId="165" fontId="13" fillId="4" borderId="31" xfId="3" applyFont="1" applyFill="1" applyBorder="1" applyAlignment="1" applyProtection="1">
      <alignment horizontal="left" vertical="center"/>
    </xf>
    <xf numFmtId="0" fontId="2" fillId="4" borderId="29" xfId="0" applyFont="1" applyFill="1" applyBorder="1" applyAlignment="1">
      <alignment horizontal="center" vertical="center"/>
    </xf>
    <xf numFmtId="165" fontId="2" fillId="4" borderId="31" xfId="3" applyFont="1" applyFill="1" applyBorder="1" applyAlignment="1" applyProtection="1">
      <alignment horizontal="left" vertical="center"/>
    </xf>
    <xf numFmtId="0" fontId="13" fillId="3" borderId="61" xfId="0" applyFont="1" applyFill="1" applyBorder="1" applyAlignment="1">
      <alignment horizontal="left" vertical="center"/>
    </xf>
    <xf numFmtId="170" fontId="13" fillId="3" borderId="62" xfId="0" applyNumberFormat="1" applyFont="1" applyFill="1" applyBorder="1" applyAlignment="1">
      <alignment horizontal="left" vertical="center"/>
    </xf>
    <xf numFmtId="0" fontId="13" fillId="4" borderId="63" xfId="0" applyFont="1" applyFill="1" applyBorder="1" applyAlignment="1">
      <alignment horizontal="left" vertical="center"/>
    </xf>
    <xf numFmtId="0" fontId="13" fillId="4" borderId="63" xfId="0" applyFont="1" applyFill="1" applyBorder="1" applyAlignment="1">
      <alignment horizontal="left" vertical="center" wrapText="1"/>
    </xf>
    <xf numFmtId="0" fontId="13" fillId="4" borderId="53" xfId="0" applyFont="1" applyFill="1" applyBorder="1" applyAlignment="1">
      <alignment horizontal="left" vertical="center" wrapText="1"/>
    </xf>
    <xf numFmtId="0" fontId="2" fillId="4" borderId="32" xfId="0" applyFont="1" applyFill="1" applyBorder="1" applyAlignment="1">
      <alignment horizontal="center" vertical="center" wrapText="1"/>
    </xf>
    <xf numFmtId="165" fontId="2" fillId="4" borderId="34" xfId="3" applyFont="1" applyFill="1" applyBorder="1" applyAlignment="1" applyProtection="1">
      <alignment horizontal="left" vertical="center"/>
    </xf>
    <xf numFmtId="0" fontId="2" fillId="4" borderId="49" xfId="0" applyFont="1" applyFill="1" applyBorder="1" applyAlignment="1">
      <alignment horizontal="left" vertical="center"/>
    </xf>
    <xf numFmtId="0" fontId="13" fillId="4" borderId="50" xfId="0" applyFont="1" applyFill="1" applyBorder="1" applyAlignment="1">
      <alignment horizontal="left" vertical="center"/>
    </xf>
    <xf numFmtId="170" fontId="8" fillId="4" borderId="64" xfId="0" applyNumberFormat="1" applyFont="1" applyFill="1" applyBorder="1" applyAlignment="1">
      <alignment horizontal="left" vertical="center"/>
    </xf>
    <xf numFmtId="165" fontId="8" fillId="4" borderId="31" xfId="3" applyFont="1" applyFill="1" applyBorder="1" applyAlignment="1" applyProtection="1">
      <alignment horizontal="left" vertical="center"/>
    </xf>
    <xf numFmtId="165" fontId="18" fillId="4" borderId="64" xfId="3" applyFont="1" applyFill="1" applyBorder="1" applyAlignment="1" applyProtection="1">
      <alignment horizontal="left" vertical="center"/>
    </xf>
    <xf numFmtId="0" fontId="13" fillId="2" borderId="0" xfId="0" applyFont="1" applyFill="1" applyAlignment="1">
      <alignment horizontal="left" vertical="center"/>
    </xf>
    <xf numFmtId="165" fontId="8" fillId="2" borderId="0" xfId="3" applyFont="1" applyFill="1" applyBorder="1" applyAlignment="1" applyProtection="1">
      <alignment horizontal="left" vertical="center"/>
    </xf>
    <xf numFmtId="165" fontId="8" fillId="0" borderId="0" xfId="3" applyFont="1" applyFill="1" applyBorder="1" applyAlignment="1" applyProtection="1">
      <alignment vertical="center"/>
    </xf>
    <xf numFmtId="165" fontId="8" fillId="0" borderId="5" xfId="3" applyFont="1" applyFill="1" applyBorder="1" applyAlignment="1" applyProtection="1">
      <alignment horizontal="center" vertical="center"/>
    </xf>
    <xf numFmtId="174" fontId="8" fillId="2" borderId="46" xfId="0" applyNumberFormat="1" applyFont="1" applyFill="1" applyBorder="1" applyAlignment="1">
      <alignment vertical="center" wrapText="1"/>
    </xf>
    <xf numFmtId="43" fontId="3" fillId="0" borderId="0" xfId="1" applyFont="1" applyFill="1" applyBorder="1" applyAlignment="1" applyProtection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171" fontId="3" fillId="2" borderId="41" xfId="0" applyNumberFormat="1" applyFont="1" applyFill="1" applyBorder="1" applyAlignment="1">
      <alignment horizontal="center" vertical="center"/>
    </xf>
    <xf numFmtId="10" fontId="3" fillId="2" borderId="52" xfId="0" applyNumberFormat="1" applyFont="1" applyFill="1" applyBorder="1" applyAlignment="1">
      <alignment horizontal="center" vertical="center"/>
    </xf>
    <xf numFmtId="175" fontId="8" fillId="2" borderId="12" xfId="0" applyNumberFormat="1" applyFont="1" applyFill="1" applyBorder="1" applyAlignment="1">
      <alignment vertical="center"/>
    </xf>
    <xf numFmtId="172" fontId="10" fillId="0" borderId="0" xfId="0" applyNumberFormat="1" applyFont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170" fontId="3" fillId="2" borderId="0" xfId="0" applyNumberFormat="1" applyFont="1" applyFill="1" applyAlignment="1">
      <alignment horizontal="center" vertical="center"/>
    </xf>
    <xf numFmtId="10" fontId="3" fillId="2" borderId="33" xfId="0" applyNumberFormat="1" applyFont="1" applyFill="1" applyBorder="1" applyAlignment="1">
      <alignment horizontal="center" vertical="center"/>
    </xf>
    <xf numFmtId="172" fontId="3" fillId="0" borderId="0" xfId="0" applyNumberFormat="1" applyFont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171" fontId="3" fillId="2" borderId="25" xfId="0" applyNumberFormat="1" applyFont="1" applyFill="1" applyBorder="1" applyAlignment="1">
      <alignment horizontal="center" vertical="center"/>
    </xf>
    <xf numFmtId="10" fontId="3" fillId="2" borderId="38" xfId="0" applyNumberFormat="1" applyFont="1" applyFill="1" applyBorder="1" applyAlignment="1">
      <alignment horizontal="center" vertical="center"/>
    </xf>
    <xf numFmtId="175" fontId="3" fillId="2" borderId="37" xfId="0" applyNumberFormat="1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165" fontId="8" fillId="0" borderId="0" xfId="3" applyFont="1" applyFill="1" applyBorder="1" applyAlignment="1" applyProtection="1">
      <alignment horizontal="center" vertical="center"/>
    </xf>
    <xf numFmtId="0" fontId="24" fillId="0" borderId="18" xfId="0" applyFont="1" applyBorder="1"/>
    <xf numFmtId="0" fontId="24" fillId="0" borderId="14" xfId="0" applyFont="1" applyBorder="1"/>
    <xf numFmtId="0" fontId="24" fillId="0" borderId="14" xfId="0" applyFont="1" applyBorder="1" applyAlignment="1">
      <alignment horizontal="right"/>
    </xf>
    <xf numFmtId="0" fontId="0" fillId="0" borderId="33" xfId="0" applyBorder="1" applyAlignment="1">
      <alignment horizontal="center"/>
    </xf>
    <xf numFmtId="0" fontId="28" fillId="0" borderId="32" xfId="0" applyFont="1" applyBorder="1"/>
    <xf numFmtId="0" fontId="28" fillId="0" borderId="15" xfId="0" applyFont="1" applyBorder="1"/>
    <xf numFmtId="10" fontId="28" fillId="0" borderId="15" xfId="0" applyNumberFormat="1" applyFont="1" applyBorder="1" applyAlignment="1">
      <alignment horizontal="center"/>
    </xf>
    <xf numFmtId="10" fontId="28" fillId="0" borderId="31" xfId="0" applyNumberFormat="1" applyFont="1" applyBorder="1" applyAlignment="1">
      <alignment horizontal="center"/>
    </xf>
    <xf numFmtId="43" fontId="28" fillId="0" borderId="15" xfId="1" applyFont="1" applyFill="1" applyBorder="1" applyAlignment="1" applyProtection="1"/>
    <xf numFmtId="0" fontId="0" fillId="0" borderId="33" xfId="0" applyBorder="1"/>
    <xf numFmtId="0" fontId="28" fillId="0" borderId="36" xfId="0" applyFont="1" applyBorder="1"/>
    <xf numFmtId="0" fontId="28" fillId="0" borderId="65" xfId="0" applyFont="1" applyBorder="1"/>
    <xf numFmtId="174" fontId="28" fillId="0" borderId="65" xfId="0" applyNumberFormat="1" applyFont="1" applyBorder="1"/>
    <xf numFmtId="174" fontId="29" fillId="0" borderId="65" xfId="0" applyNumberFormat="1" applyFont="1" applyBorder="1"/>
    <xf numFmtId="174" fontId="28" fillId="0" borderId="64" xfId="0" applyNumberFormat="1" applyFont="1" applyBorder="1"/>
    <xf numFmtId="171" fontId="12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 wrapText="1"/>
    </xf>
    <xf numFmtId="165" fontId="12" fillId="0" borderId="0" xfId="3" applyFont="1" applyFill="1" applyBorder="1" applyAlignment="1" applyProtection="1">
      <alignment horizontal="center" vertical="center" wrapText="1"/>
    </xf>
    <xf numFmtId="0" fontId="12" fillId="0" borderId="0" xfId="3" applyNumberFormat="1" applyFont="1" applyFill="1" applyBorder="1" applyAlignment="1" applyProtection="1">
      <alignment horizontal="center" vertical="center" wrapText="1"/>
    </xf>
    <xf numFmtId="4" fontId="12" fillId="0" borderId="0" xfId="0" applyNumberFormat="1" applyFont="1" applyAlignment="1">
      <alignment horizontal="right" wrapText="1"/>
    </xf>
    <xf numFmtId="165" fontId="16" fillId="0" borderId="0" xfId="3" applyFont="1" applyFill="1" applyBorder="1" applyAlignment="1" applyProtection="1">
      <alignment horizontal="center" vertical="center" wrapText="1"/>
    </xf>
    <xf numFmtId="9" fontId="19" fillId="0" borderId="0" xfId="2" applyFont="1" applyFill="1" applyBorder="1" applyAlignment="1" applyProtection="1">
      <alignment horizontal="center" vertical="center" wrapText="1"/>
    </xf>
    <xf numFmtId="165" fontId="21" fillId="0" borderId="0" xfId="3" applyFont="1" applyFill="1" applyBorder="1" applyAlignment="1" applyProtection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165" fontId="19" fillId="0" borderId="0" xfId="3" applyFont="1" applyFill="1" applyBorder="1" applyAlignment="1" applyProtection="1">
      <alignment horizontal="center" vertical="center"/>
    </xf>
    <xf numFmtId="165" fontId="14" fillId="0" borderId="0" xfId="3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 vertical="center"/>
    </xf>
    <xf numFmtId="171" fontId="14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0" fontId="12" fillId="0" borderId="0" xfId="0" applyNumberFormat="1" applyFont="1" applyAlignment="1">
      <alignment horizontal="center" vertical="center"/>
    </xf>
  </cellXfs>
  <cellStyles count="4">
    <cellStyle name="Euro" xfId="3" xr:uid="{C30B932D-6FAD-4141-B085-A83EDED5AF17}"/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ORTI/CCDI%202018-2019/AUMENTI%20CCNL%202016-2018%20CALCOLI%20INCREMENTO%20posizioni%20economiche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U:\PERSONALE\CCDI\CCDI%202024\calcolo%20fondo%20e%20ripartizone%202015-2024%20S.DAMIANO%201.xls" TargetMode="External"/><Relationship Id="rId1" Type="http://schemas.openxmlformats.org/officeDocument/2006/relationships/externalLinkPath" Target="/PERSONALE/CCDI/CCDI%202024/calcolo%20fondo%20e%20ripartizone%202015-2024%20S.DAMIANO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NL INCREM.2016"/>
      <sheetName val="CCNL INCREM.2017"/>
      <sheetName val="CCNL INCREM.AL 1.3.2018"/>
      <sheetName val="CCNL INCR. DAL 1.3 AL 1.4.2018"/>
      <sheetName val="CCNL INCR. DAL 1.4 AL 31.12.18"/>
      <sheetName val="TAB AUMENTO PEO DAL 1.1.2016"/>
      <sheetName val=" AUMENTO PEO 2018"/>
      <sheetName val="AUMENTO PEO 2019"/>
      <sheetName val="TABELLARE 2019"/>
      <sheetName val="DIFF. PEO 2019"/>
      <sheetName val="STRAORDINARI 201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8">
          <cell r="X18">
            <v>1.7099999999999795</v>
          </cell>
        </row>
        <row r="24">
          <cell r="X24">
            <v>2.6700000000000159</v>
          </cell>
        </row>
        <row r="26">
          <cell r="X26">
            <v>9.9200000000000159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NDO ANNO 2009"/>
      <sheetName val="FONDO ANNO 2015"/>
      <sheetName val="MOD I - II  (2)"/>
      <sheetName val="MOD III  (2)"/>
      <sheetName val="FONDO ANNO 2016"/>
      <sheetName val="MOD I - II  (3)"/>
      <sheetName val="MOD III  (3)"/>
      <sheetName val="FONDO CONSUNTIVO ANNO 2016"/>
      <sheetName val="FONDO ANNO 2017"/>
      <sheetName val="MOD I - II  (4)"/>
      <sheetName val="MOD III  (4)"/>
      <sheetName val="FONDO ANNO 2018"/>
      <sheetName val="FONDO ANNO 2019"/>
      <sheetName val="FONDO ANNO 2020"/>
      <sheetName val="FONDO ANNO 2021"/>
      <sheetName val="FONDO ANNO 2022"/>
      <sheetName val="FONDO NEO CCNL da farsi x 2023"/>
      <sheetName val="AUMENTI CCNL 2019-2021"/>
      <sheetName val="FONDO CCNL da farsi 2024"/>
    </sheetNames>
    <sheetDataSet>
      <sheetData sheetId="0"/>
      <sheetData sheetId="1"/>
      <sheetData sheetId="2"/>
      <sheetData sheetId="3"/>
      <sheetData sheetId="4">
        <row r="39">
          <cell r="I39">
            <v>13862.261954475314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8">
          <cell r="I18">
            <v>157.65200000000002</v>
          </cell>
        </row>
        <row r="23">
          <cell r="I23">
            <v>359.99236111110849</v>
          </cell>
        </row>
        <row r="34">
          <cell r="I34">
            <v>5015.7747200000003</v>
          </cell>
        </row>
        <row r="36">
          <cell r="I36">
            <v>405.51956000000001</v>
          </cell>
        </row>
        <row r="37">
          <cell r="I37">
            <v>614</v>
          </cell>
        </row>
        <row r="44">
          <cell r="I44">
            <v>14019.911954475314</v>
          </cell>
        </row>
        <row r="49">
          <cell r="I49">
            <v>2566.6666666666665</v>
          </cell>
        </row>
      </sheetData>
      <sheetData sheetId="12"/>
      <sheetData sheetId="13"/>
      <sheetData sheetId="14">
        <row r="54">
          <cell r="K54">
            <v>13137.387500000001</v>
          </cell>
        </row>
        <row r="72">
          <cell r="H72">
            <v>15924.885452788567</v>
          </cell>
        </row>
      </sheetData>
      <sheetData sheetId="15"/>
      <sheetData sheetId="16">
        <row r="79">
          <cell r="H79">
            <v>980.41376537386532</v>
          </cell>
        </row>
      </sheetData>
      <sheetData sheetId="17">
        <row r="16">
          <cell r="D16">
            <v>26709.583333333332</v>
          </cell>
        </row>
        <row r="19">
          <cell r="D19">
            <v>24110.471666666665</v>
          </cell>
        </row>
        <row r="20">
          <cell r="K20">
            <v>23710.461666666666</v>
          </cell>
        </row>
        <row r="21">
          <cell r="D21">
            <v>22909.109166666665</v>
          </cell>
          <cell r="K21">
            <v>23175.609166666665</v>
          </cell>
        </row>
        <row r="33">
          <cell r="D33">
            <v>22150.169166666667</v>
          </cell>
        </row>
        <row r="34">
          <cell r="K34">
            <v>22061.444166666668</v>
          </cell>
        </row>
        <row r="35">
          <cell r="D35">
            <v>21467.55</v>
          </cell>
          <cell r="K35">
            <v>21745.620000000003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0522-E908-4AE7-9828-F7B306093C54}">
  <dimension ref="A1:W120"/>
  <sheetViews>
    <sheetView tabSelected="1" topLeftCell="A70" workbookViewId="0">
      <selection activeCell="K82" sqref="K82"/>
    </sheetView>
  </sheetViews>
  <sheetFormatPr defaultRowHeight="12.75" x14ac:dyDescent="0.25"/>
  <cols>
    <col min="1" max="1" width="18.42578125" style="2" customWidth="1"/>
    <col min="2" max="2" width="4.7109375" style="2" customWidth="1"/>
    <col min="3" max="3" width="14.140625" style="2" bestFit="1" customWidth="1"/>
    <col min="4" max="4" width="14.28515625" style="2" customWidth="1"/>
    <col min="5" max="5" width="12.28515625" style="2" customWidth="1"/>
    <col min="6" max="6" width="11.42578125" style="2" bestFit="1" customWidth="1"/>
    <col min="7" max="7" width="12.28515625" style="2" customWidth="1"/>
    <col min="8" max="8" width="13.85546875" style="2" customWidth="1"/>
    <col min="9" max="9" width="14.140625" style="19" customWidth="1"/>
    <col min="10" max="11" width="14.85546875" style="2" customWidth="1"/>
    <col min="12" max="12" width="12.5703125" style="2" bestFit="1" customWidth="1"/>
    <col min="13" max="13" width="16.28515625" style="2" bestFit="1" customWidth="1"/>
    <col min="14" max="14" width="13" style="2" bestFit="1" customWidth="1"/>
    <col min="15" max="15" width="11.85546875" style="1" customWidth="1"/>
    <col min="16" max="16" width="12.28515625" style="1" customWidth="1"/>
    <col min="17" max="17" width="13.28515625" style="2" customWidth="1"/>
    <col min="18" max="18" width="16.7109375" style="2" customWidth="1"/>
    <col min="19" max="19" width="5.42578125" style="2" customWidth="1"/>
    <col min="20" max="20" width="3.5703125" style="2" customWidth="1"/>
    <col min="21" max="21" width="2.85546875" style="2" customWidth="1"/>
    <col min="22" max="22" width="17.5703125" style="2" customWidth="1"/>
    <col min="23" max="23" width="8.85546875" style="2" customWidth="1"/>
    <col min="24" max="24" width="14.140625" style="2" customWidth="1"/>
    <col min="25" max="256" width="9.140625" style="2"/>
    <col min="257" max="257" width="18.42578125" style="2" customWidth="1"/>
    <col min="258" max="258" width="4.7109375" style="2" customWidth="1"/>
    <col min="259" max="259" width="14.140625" style="2" bestFit="1" customWidth="1"/>
    <col min="260" max="260" width="14.28515625" style="2" customWidth="1"/>
    <col min="261" max="261" width="12.28515625" style="2" customWidth="1"/>
    <col min="262" max="262" width="11.42578125" style="2" bestFit="1" customWidth="1"/>
    <col min="263" max="263" width="12.28515625" style="2" customWidth="1"/>
    <col min="264" max="264" width="13.85546875" style="2" customWidth="1"/>
    <col min="265" max="265" width="14.140625" style="2" customWidth="1"/>
    <col min="266" max="267" width="14.85546875" style="2" customWidth="1"/>
    <col min="268" max="268" width="12.5703125" style="2" bestFit="1" customWidth="1"/>
    <col min="269" max="269" width="16.28515625" style="2" bestFit="1" customWidth="1"/>
    <col min="270" max="270" width="13" style="2" bestFit="1" customWidth="1"/>
    <col min="271" max="271" width="11.85546875" style="2" customWidth="1"/>
    <col min="272" max="272" width="12.28515625" style="2" customWidth="1"/>
    <col min="273" max="273" width="13.28515625" style="2" customWidth="1"/>
    <col min="274" max="274" width="16.7109375" style="2" customWidth="1"/>
    <col min="275" max="275" width="5.42578125" style="2" customWidth="1"/>
    <col min="276" max="276" width="3.5703125" style="2" customWidth="1"/>
    <col min="277" max="277" width="2.85546875" style="2" customWidth="1"/>
    <col min="278" max="278" width="17.5703125" style="2" customWidth="1"/>
    <col min="279" max="279" width="8.85546875" style="2" customWidth="1"/>
    <col min="280" max="280" width="14.140625" style="2" customWidth="1"/>
    <col min="281" max="512" width="9.140625" style="2"/>
    <col min="513" max="513" width="18.42578125" style="2" customWidth="1"/>
    <col min="514" max="514" width="4.7109375" style="2" customWidth="1"/>
    <col min="515" max="515" width="14.140625" style="2" bestFit="1" customWidth="1"/>
    <col min="516" max="516" width="14.28515625" style="2" customWidth="1"/>
    <col min="517" max="517" width="12.28515625" style="2" customWidth="1"/>
    <col min="518" max="518" width="11.42578125" style="2" bestFit="1" customWidth="1"/>
    <col min="519" max="519" width="12.28515625" style="2" customWidth="1"/>
    <col min="520" max="520" width="13.85546875" style="2" customWidth="1"/>
    <col min="521" max="521" width="14.140625" style="2" customWidth="1"/>
    <col min="522" max="523" width="14.85546875" style="2" customWidth="1"/>
    <col min="524" max="524" width="12.5703125" style="2" bestFit="1" customWidth="1"/>
    <col min="525" max="525" width="16.28515625" style="2" bestFit="1" customWidth="1"/>
    <col min="526" max="526" width="13" style="2" bestFit="1" customWidth="1"/>
    <col min="527" max="527" width="11.85546875" style="2" customWidth="1"/>
    <col min="528" max="528" width="12.28515625" style="2" customWidth="1"/>
    <col min="529" max="529" width="13.28515625" style="2" customWidth="1"/>
    <col min="530" max="530" width="16.7109375" style="2" customWidth="1"/>
    <col min="531" max="531" width="5.42578125" style="2" customWidth="1"/>
    <col min="532" max="532" width="3.5703125" style="2" customWidth="1"/>
    <col min="533" max="533" width="2.85546875" style="2" customWidth="1"/>
    <col min="534" max="534" width="17.5703125" style="2" customWidth="1"/>
    <col min="535" max="535" width="8.85546875" style="2" customWidth="1"/>
    <col min="536" max="536" width="14.140625" style="2" customWidth="1"/>
    <col min="537" max="768" width="9.140625" style="2"/>
    <col min="769" max="769" width="18.42578125" style="2" customWidth="1"/>
    <col min="770" max="770" width="4.7109375" style="2" customWidth="1"/>
    <col min="771" max="771" width="14.140625" style="2" bestFit="1" customWidth="1"/>
    <col min="772" max="772" width="14.28515625" style="2" customWidth="1"/>
    <col min="773" max="773" width="12.28515625" style="2" customWidth="1"/>
    <col min="774" max="774" width="11.42578125" style="2" bestFit="1" customWidth="1"/>
    <col min="775" max="775" width="12.28515625" style="2" customWidth="1"/>
    <col min="776" max="776" width="13.85546875" style="2" customWidth="1"/>
    <col min="777" max="777" width="14.140625" style="2" customWidth="1"/>
    <col min="778" max="779" width="14.85546875" style="2" customWidth="1"/>
    <col min="780" max="780" width="12.5703125" style="2" bestFit="1" customWidth="1"/>
    <col min="781" max="781" width="16.28515625" style="2" bestFit="1" customWidth="1"/>
    <col min="782" max="782" width="13" style="2" bestFit="1" customWidth="1"/>
    <col min="783" max="783" width="11.85546875" style="2" customWidth="1"/>
    <col min="784" max="784" width="12.28515625" style="2" customWidth="1"/>
    <col min="785" max="785" width="13.28515625" style="2" customWidth="1"/>
    <col min="786" max="786" width="16.7109375" style="2" customWidth="1"/>
    <col min="787" max="787" width="5.42578125" style="2" customWidth="1"/>
    <col min="788" max="788" width="3.5703125" style="2" customWidth="1"/>
    <col min="789" max="789" width="2.85546875" style="2" customWidth="1"/>
    <col min="790" max="790" width="17.5703125" style="2" customWidth="1"/>
    <col min="791" max="791" width="8.85546875" style="2" customWidth="1"/>
    <col min="792" max="792" width="14.140625" style="2" customWidth="1"/>
    <col min="793" max="1024" width="9.140625" style="2"/>
    <col min="1025" max="1025" width="18.42578125" style="2" customWidth="1"/>
    <col min="1026" max="1026" width="4.7109375" style="2" customWidth="1"/>
    <col min="1027" max="1027" width="14.140625" style="2" bestFit="1" customWidth="1"/>
    <col min="1028" max="1028" width="14.28515625" style="2" customWidth="1"/>
    <col min="1029" max="1029" width="12.28515625" style="2" customWidth="1"/>
    <col min="1030" max="1030" width="11.42578125" style="2" bestFit="1" customWidth="1"/>
    <col min="1031" max="1031" width="12.28515625" style="2" customWidth="1"/>
    <col min="1032" max="1032" width="13.85546875" style="2" customWidth="1"/>
    <col min="1033" max="1033" width="14.140625" style="2" customWidth="1"/>
    <col min="1034" max="1035" width="14.85546875" style="2" customWidth="1"/>
    <col min="1036" max="1036" width="12.5703125" style="2" bestFit="1" customWidth="1"/>
    <col min="1037" max="1037" width="16.28515625" style="2" bestFit="1" customWidth="1"/>
    <col min="1038" max="1038" width="13" style="2" bestFit="1" customWidth="1"/>
    <col min="1039" max="1039" width="11.85546875" style="2" customWidth="1"/>
    <col min="1040" max="1040" width="12.28515625" style="2" customWidth="1"/>
    <col min="1041" max="1041" width="13.28515625" style="2" customWidth="1"/>
    <col min="1042" max="1042" width="16.7109375" style="2" customWidth="1"/>
    <col min="1043" max="1043" width="5.42578125" style="2" customWidth="1"/>
    <col min="1044" max="1044" width="3.5703125" style="2" customWidth="1"/>
    <col min="1045" max="1045" width="2.85546875" style="2" customWidth="1"/>
    <col min="1046" max="1046" width="17.5703125" style="2" customWidth="1"/>
    <col min="1047" max="1047" width="8.85546875" style="2" customWidth="1"/>
    <col min="1048" max="1048" width="14.140625" style="2" customWidth="1"/>
    <col min="1049" max="1280" width="9.140625" style="2"/>
    <col min="1281" max="1281" width="18.42578125" style="2" customWidth="1"/>
    <col min="1282" max="1282" width="4.7109375" style="2" customWidth="1"/>
    <col min="1283" max="1283" width="14.140625" style="2" bestFit="1" customWidth="1"/>
    <col min="1284" max="1284" width="14.28515625" style="2" customWidth="1"/>
    <col min="1285" max="1285" width="12.28515625" style="2" customWidth="1"/>
    <col min="1286" max="1286" width="11.42578125" style="2" bestFit="1" customWidth="1"/>
    <col min="1287" max="1287" width="12.28515625" style="2" customWidth="1"/>
    <col min="1288" max="1288" width="13.85546875" style="2" customWidth="1"/>
    <col min="1289" max="1289" width="14.140625" style="2" customWidth="1"/>
    <col min="1290" max="1291" width="14.85546875" style="2" customWidth="1"/>
    <col min="1292" max="1292" width="12.5703125" style="2" bestFit="1" customWidth="1"/>
    <col min="1293" max="1293" width="16.28515625" style="2" bestFit="1" customWidth="1"/>
    <col min="1294" max="1294" width="13" style="2" bestFit="1" customWidth="1"/>
    <col min="1295" max="1295" width="11.85546875" style="2" customWidth="1"/>
    <col min="1296" max="1296" width="12.28515625" style="2" customWidth="1"/>
    <col min="1297" max="1297" width="13.28515625" style="2" customWidth="1"/>
    <col min="1298" max="1298" width="16.7109375" style="2" customWidth="1"/>
    <col min="1299" max="1299" width="5.42578125" style="2" customWidth="1"/>
    <col min="1300" max="1300" width="3.5703125" style="2" customWidth="1"/>
    <col min="1301" max="1301" width="2.85546875" style="2" customWidth="1"/>
    <col min="1302" max="1302" width="17.5703125" style="2" customWidth="1"/>
    <col min="1303" max="1303" width="8.85546875" style="2" customWidth="1"/>
    <col min="1304" max="1304" width="14.140625" style="2" customWidth="1"/>
    <col min="1305" max="1536" width="9.140625" style="2"/>
    <col min="1537" max="1537" width="18.42578125" style="2" customWidth="1"/>
    <col min="1538" max="1538" width="4.7109375" style="2" customWidth="1"/>
    <col min="1539" max="1539" width="14.140625" style="2" bestFit="1" customWidth="1"/>
    <col min="1540" max="1540" width="14.28515625" style="2" customWidth="1"/>
    <col min="1541" max="1541" width="12.28515625" style="2" customWidth="1"/>
    <col min="1542" max="1542" width="11.42578125" style="2" bestFit="1" customWidth="1"/>
    <col min="1543" max="1543" width="12.28515625" style="2" customWidth="1"/>
    <col min="1544" max="1544" width="13.85546875" style="2" customWidth="1"/>
    <col min="1545" max="1545" width="14.140625" style="2" customWidth="1"/>
    <col min="1546" max="1547" width="14.85546875" style="2" customWidth="1"/>
    <col min="1548" max="1548" width="12.5703125" style="2" bestFit="1" customWidth="1"/>
    <col min="1549" max="1549" width="16.28515625" style="2" bestFit="1" customWidth="1"/>
    <col min="1550" max="1550" width="13" style="2" bestFit="1" customWidth="1"/>
    <col min="1551" max="1551" width="11.85546875" style="2" customWidth="1"/>
    <col min="1552" max="1552" width="12.28515625" style="2" customWidth="1"/>
    <col min="1553" max="1553" width="13.28515625" style="2" customWidth="1"/>
    <col min="1554" max="1554" width="16.7109375" style="2" customWidth="1"/>
    <col min="1555" max="1555" width="5.42578125" style="2" customWidth="1"/>
    <col min="1556" max="1556" width="3.5703125" style="2" customWidth="1"/>
    <col min="1557" max="1557" width="2.85546875" style="2" customWidth="1"/>
    <col min="1558" max="1558" width="17.5703125" style="2" customWidth="1"/>
    <col min="1559" max="1559" width="8.85546875" style="2" customWidth="1"/>
    <col min="1560" max="1560" width="14.140625" style="2" customWidth="1"/>
    <col min="1561" max="1792" width="9.140625" style="2"/>
    <col min="1793" max="1793" width="18.42578125" style="2" customWidth="1"/>
    <col min="1794" max="1794" width="4.7109375" style="2" customWidth="1"/>
    <col min="1795" max="1795" width="14.140625" style="2" bestFit="1" customWidth="1"/>
    <col min="1796" max="1796" width="14.28515625" style="2" customWidth="1"/>
    <col min="1797" max="1797" width="12.28515625" style="2" customWidth="1"/>
    <col min="1798" max="1798" width="11.42578125" style="2" bestFit="1" customWidth="1"/>
    <col min="1799" max="1799" width="12.28515625" style="2" customWidth="1"/>
    <col min="1800" max="1800" width="13.85546875" style="2" customWidth="1"/>
    <col min="1801" max="1801" width="14.140625" style="2" customWidth="1"/>
    <col min="1802" max="1803" width="14.85546875" style="2" customWidth="1"/>
    <col min="1804" max="1804" width="12.5703125" style="2" bestFit="1" customWidth="1"/>
    <col min="1805" max="1805" width="16.28515625" style="2" bestFit="1" customWidth="1"/>
    <col min="1806" max="1806" width="13" style="2" bestFit="1" customWidth="1"/>
    <col min="1807" max="1807" width="11.85546875" style="2" customWidth="1"/>
    <col min="1808" max="1808" width="12.28515625" style="2" customWidth="1"/>
    <col min="1809" max="1809" width="13.28515625" style="2" customWidth="1"/>
    <col min="1810" max="1810" width="16.7109375" style="2" customWidth="1"/>
    <col min="1811" max="1811" width="5.42578125" style="2" customWidth="1"/>
    <col min="1812" max="1812" width="3.5703125" style="2" customWidth="1"/>
    <col min="1813" max="1813" width="2.85546875" style="2" customWidth="1"/>
    <col min="1814" max="1814" width="17.5703125" style="2" customWidth="1"/>
    <col min="1815" max="1815" width="8.85546875" style="2" customWidth="1"/>
    <col min="1816" max="1816" width="14.140625" style="2" customWidth="1"/>
    <col min="1817" max="2048" width="9.140625" style="2"/>
    <col min="2049" max="2049" width="18.42578125" style="2" customWidth="1"/>
    <col min="2050" max="2050" width="4.7109375" style="2" customWidth="1"/>
    <col min="2051" max="2051" width="14.140625" style="2" bestFit="1" customWidth="1"/>
    <col min="2052" max="2052" width="14.28515625" style="2" customWidth="1"/>
    <col min="2053" max="2053" width="12.28515625" style="2" customWidth="1"/>
    <col min="2054" max="2054" width="11.42578125" style="2" bestFit="1" customWidth="1"/>
    <col min="2055" max="2055" width="12.28515625" style="2" customWidth="1"/>
    <col min="2056" max="2056" width="13.85546875" style="2" customWidth="1"/>
    <col min="2057" max="2057" width="14.140625" style="2" customWidth="1"/>
    <col min="2058" max="2059" width="14.85546875" style="2" customWidth="1"/>
    <col min="2060" max="2060" width="12.5703125" style="2" bestFit="1" customWidth="1"/>
    <col min="2061" max="2061" width="16.28515625" style="2" bestFit="1" customWidth="1"/>
    <col min="2062" max="2062" width="13" style="2" bestFit="1" customWidth="1"/>
    <col min="2063" max="2063" width="11.85546875" style="2" customWidth="1"/>
    <col min="2064" max="2064" width="12.28515625" style="2" customWidth="1"/>
    <col min="2065" max="2065" width="13.28515625" style="2" customWidth="1"/>
    <col min="2066" max="2066" width="16.7109375" style="2" customWidth="1"/>
    <col min="2067" max="2067" width="5.42578125" style="2" customWidth="1"/>
    <col min="2068" max="2068" width="3.5703125" style="2" customWidth="1"/>
    <col min="2069" max="2069" width="2.85546875" style="2" customWidth="1"/>
    <col min="2070" max="2070" width="17.5703125" style="2" customWidth="1"/>
    <col min="2071" max="2071" width="8.85546875" style="2" customWidth="1"/>
    <col min="2072" max="2072" width="14.140625" style="2" customWidth="1"/>
    <col min="2073" max="2304" width="9.140625" style="2"/>
    <col min="2305" max="2305" width="18.42578125" style="2" customWidth="1"/>
    <col min="2306" max="2306" width="4.7109375" style="2" customWidth="1"/>
    <col min="2307" max="2307" width="14.140625" style="2" bestFit="1" customWidth="1"/>
    <col min="2308" max="2308" width="14.28515625" style="2" customWidth="1"/>
    <col min="2309" max="2309" width="12.28515625" style="2" customWidth="1"/>
    <col min="2310" max="2310" width="11.42578125" style="2" bestFit="1" customWidth="1"/>
    <col min="2311" max="2311" width="12.28515625" style="2" customWidth="1"/>
    <col min="2312" max="2312" width="13.85546875" style="2" customWidth="1"/>
    <col min="2313" max="2313" width="14.140625" style="2" customWidth="1"/>
    <col min="2314" max="2315" width="14.85546875" style="2" customWidth="1"/>
    <col min="2316" max="2316" width="12.5703125" style="2" bestFit="1" customWidth="1"/>
    <col min="2317" max="2317" width="16.28515625" style="2" bestFit="1" customWidth="1"/>
    <col min="2318" max="2318" width="13" style="2" bestFit="1" customWidth="1"/>
    <col min="2319" max="2319" width="11.85546875" style="2" customWidth="1"/>
    <col min="2320" max="2320" width="12.28515625" style="2" customWidth="1"/>
    <col min="2321" max="2321" width="13.28515625" style="2" customWidth="1"/>
    <col min="2322" max="2322" width="16.7109375" style="2" customWidth="1"/>
    <col min="2323" max="2323" width="5.42578125" style="2" customWidth="1"/>
    <col min="2324" max="2324" width="3.5703125" style="2" customWidth="1"/>
    <col min="2325" max="2325" width="2.85546875" style="2" customWidth="1"/>
    <col min="2326" max="2326" width="17.5703125" style="2" customWidth="1"/>
    <col min="2327" max="2327" width="8.85546875" style="2" customWidth="1"/>
    <col min="2328" max="2328" width="14.140625" style="2" customWidth="1"/>
    <col min="2329" max="2560" width="9.140625" style="2"/>
    <col min="2561" max="2561" width="18.42578125" style="2" customWidth="1"/>
    <col min="2562" max="2562" width="4.7109375" style="2" customWidth="1"/>
    <col min="2563" max="2563" width="14.140625" style="2" bestFit="1" customWidth="1"/>
    <col min="2564" max="2564" width="14.28515625" style="2" customWidth="1"/>
    <col min="2565" max="2565" width="12.28515625" style="2" customWidth="1"/>
    <col min="2566" max="2566" width="11.42578125" style="2" bestFit="1" customWidth="1"/>
    <col min="2567" max="2567" width="12.28515625" style="2" customWidth="1"/>
    <col min="2568" max="2568" width="13.85546875" style="2" customWidth="1"/>
    <col min="2569" max="2569" width="14.140625" style="2" customWidth="1"/>
    <col min="2570" max="2571" width="14.85546875" style="2" customWidth="1"/>
    <col min="2572" max="2572" width="12.5703125" style="2" bestFit="1" customWidth="1"/>
    <col min="2573" max="2573" width="16.28515625" style="2" bestFit="1" customWidth="1"/>
    <col min="2574" max="2574" width="13" style="2" bestFit="1" customWidth="1"/>
    <col min="2575" max="2575" width="11.85546875" style="2" customWidth="1"/>
    <col min="2576" max="2576" width="12.28515625" style="2" customWidth="1"/>
    <col min="2577" max="2577" width="13.28515625" style="2" customWidth="1"/>
    <col min="2578" max="2578" width="16.7109375" style="2" customWidth="1"/>
    <col min="2579" max="2579" width="5.42578125" style="2" customWidth="1"/>
    <col min="2580" max="2580" width="3.5703125" style="2" customWidth="1"/>
    <col min="2581" max="2581" width="2.85546875" style="2" customWidth="1"/>
    <col min="2582" max="2582" width="17.5703125" style="2" customWidth="1"/>
    <col min="2583" max="2583" width="8.85546875" style="2" customWidth="1"/>
    <col min="2584" max="2584" width="14.140625" style="2" customWidth="1"/>
    <col min="2585" max="2816" width="9.140625" style="2"/>
    <col min="2817" max="2817" width="18.42578125" style="2" customWidth="1"/>
    <col min="2818" max="2818" width="4.7109375" style="2" customWidth="1"/>
    <col min="2819" max="2819" width="14.140625" style="2" bestFit="1" customWidth="1"/>
    <col min="2820" max="2820" width="14.28515625" style="2" customWidth="1"/>
    <col min="2821" max="2821" width="12.28515625" style="2" customWidth="1"/>
    <col min="2822" max="2822" width="11.42578125" style="2" bestFit="1" customWidth="1"/>
    <col min="2823" max="2823" width="12.28515625" style="2" customWidth="1"/>
    <col min="2824" max="2824" width="13.85546875" style="2" customWidth="1"/>
    <col min="2825" max="2825" width="14.140625" style="2" customWidth="1"/>
    <col min="2826" max="2827" width="14.85546875" style="2" customWidth="1"/>
    <col min="2828" max="2828" width="12.5703125" style="2" bestFit="1" customWidth="1"/>
    <col min="2829" max="2829" width="16.28515625" style="2" bestFit="1" customWidth="1"/>
    <col min="2830" max="2830" width="13" style="2" bestFit="1" customWidth="1"/>
    <col min="2831" max="2831" width="11.85546875" style="2" customWidth="1"/>
    <col min="2832" max="2832" width="12.28515625" style="2" customWidth="1"/>
    <col min="2833" max="2833" width="13.28515625" style="2" customWidth="1"/>
    <col min="2834" max="2834" width="16.7109375" style="2" customWidth="1"/>
    <col min="2835" max="2835" width="5.42578125" style="2" customWidth="1"/>
    <col min="2836" max="2836" width="3.5703125" style="2" customWidth="1"/>
    <col min="2837" max="2837" width="2.85546875" style="2" customWidth="1"/>
    <col min="2838" max="2838" width="17.5703125" style="2" customWidth="1"/>
    <col min="2839" max="2839" width="8.85546875" style="2" customWidth="1"/>
    <col min="2840" max="2840" width="14.140625" style="2" customWidth="1"/>
    <col min="2841" max="3072" width="9.140625" style="2"/>
    <col min="3073" max="3073" width="18.42578125" style="2" customWidth="1"/>
    <col min="3074" max="3074" width="4.7109375" style="2" customWidth="1"/>
    <col min="3075" max="3075" width="14.140625" style="2" bestFit="1" customWidth="1"/>
    <col min="3076" max="3076" width="14.28515625" style="2" customWidth="1"/>
    <col min="3077" max="3077" width="12.28515625" style="2" customWidth="1"/>
    <col min="3078" max="3078" width="11.42578125" style="2" bestFit="1" customWidth="1"/>
    <col min="3079" max="3079" width="12.28515625" style="2" customWidth="1"/>
    <col min="3080" max="3080" width="13.85546875" style="2" customWidth="1"/>
    <col min="3081" max="3081" width="14.140625" style="2" customWidth="1"/>
    <col min="3082" max="3083" width="14.85546875" style="2" customWidth="1"/>
    <col min="3084" max="3084" width="12.5703125" style="2" bestFit="1" customWidth="1"/>
    <col min="3085" max="3085" width="16.28515625" style="2" bestFit="1" customWidth="1"/>
    <col min="3086" max="3086" width="13" style="2" bestFit="1" customWidth="1"/>
    <col min="3087" max="3087" width="11.85546875" style="2" customWidth="1"/>
    <col min="3088" max="3088" width="12.28515625" style="2" customWidth="1"/>
    <col min="3089" max="3089" width="13.28515625" style="2" customWidth="1"/>
    <col min="3090" max="3090" width="16.7109375" style="2" customWidth="1"/>
    <col min="3091" max="3091" width="5.42578125" style="2" customWidth="1"/>
    <col min="3092" max="3092" width="3.5703125" style="2" customWidth="1"/>
    <col min="3093" max="3093" width="2.85546875" style="2" customWidth="1"/>
    <col min="3094" max="3094" width="17.5703125" style="2" customWidth="1"/>
    <col min="3095" max="3095" width="8.85546875" style="2" customWidth="1"/>
    <col min="3096" max="3096" width="14.140625" style="2" customWidth="1"/>
    <col min="3097" max="3328" width="9.140625" style="2"/>
    <col min="3329" max="3329" width="18.42578125" style="2" customWidth="1"/>
    <col min="3330" max="3330" width="4.7109375" style="2" customWidth="1"/>
    <col min="3331" max="3331" width="14.140625" style="2" bestFit="1" customWidth="1"/>
    <col min="3332" max="3332" width="14.28515625" style="2" customWidth="1"/>
    <col min="3333" max="3333" width="12.28515625" style="2" customWidth="1"/>
    <col min="3334" max="3334" width="11.42578125" style="2" bestFit="1" customWidth="1"/>
    <col min="3335" max="3335" width="12.28515625" style="2" customWidth="1"/>
    <col min="3336" max="3336" width="13.85546875" style="2" customWidth="1"/>
    <col min="3337" max="3337" width="14.140625" style="2" customWidth="1"/>
    <col min="3338" max="3339" width="14.85546875" style="2" customWidth="1"/>
    <col min="3340" max="3340" width="12.5703125" style="2" bestFit="1" customWidth="1"/>
    <col min="3341" max="3341" width="16.28515625" style="2" bestFit="1" customWidth="1"/>
    <col min="3342" max="3342" width="13" style="2" bestFit="1" customWidth="1"/>
    <col min="3343" max="3343" width="11.85546875" style="2" customWidth="1"/>
    <col min="3344" max="3344" width="12.28515625" style="2" customWidth="1"/>
    <col min="3345" max="3345" width="13.28515625" style="2" customWidth="1"/>
    <col min="3346" max="3346" width="16.7109375" style="2" customWidth="1"/>
    <col min="3347" max="3347" width="5.42578125" style="2" customWidth="1"/>
    <col min="3348" max="3348" width="3.5703125" style="2" customWidth="1"/>
    <col min="3349" max="3349" width="2.85546875" style="2" customWidth="1"/>
    <col min="3350" max="3350" width="17.5703125" style="2" customWidth="1"/>
    <col min="3351" max="3351" width="8.85546875" style="2" customWidth="1"/>
    <col min="3352" max="3352" width="14.140625" style="2" customWidth="1"/>
    <col min="3353" max="3584" width="9.140625" style="2"/>
    <col min="3585" max="3585" width="18.42578125" style="2" customWidth="1"/>
    <col min="3586" max="3586" width="4.7109375" style="2" customWidth="1"/>
    <col min="3587" max="3587" width="14.140625" style="2" bestFit="1" customWidth="1"/>
    <col min="3588" max="3588" width="14.28515625" style="2" customWidth="1"/>
    <col min="3589" max="3589" width="12.28515625" style="2" customWidth="1"/>
    <col min="3590" max="3590" width="11.42578125" style="2" bestFit="1" customWidth="1"/>
    <col min="3591" max="3591" width="12.28515625" style="2" customWidth="1"/>
    <col min="3592" max="3592" width="13.85546875" style="2" customWidth="1"/>
    <col min="3593" max="3593" width="14.140625" style="2" customWidth="1"/>
    <col min="3594" max="3595" width="14.85546875" style="2" customWidth="1"/>
    <col min="3596" max="3596" width="12.5703125" style="2" bestFit="1" customWidth="1"/>
    <col min="3597" max="3597" width="16.28515625" style="2" bestFit="1" customWidth="1"/>
    <col min="3598" max="3598" width="13" style="2" bestFit="1" customWidth="1"/>
    <col min="3599" max="3599" width="11.85546875" style="2" customWidth="1"/>
    <col min="3600" max="3600" width="12.28515625" style="2" customWidth="1"/>
    <col min="3601" max="3601" width="13.28515625" style="2" customWidth="1"/>
    <col min="3602" max="3602" width="16.7109375" style="2" customWidth="1"/>
    <col min="3603" max="3603" width="5.42578125" style="2" customWidth="1"/>
    <col min="3604" max="3604" width="3.5703125" style="2" customWidth="1"/>
    <col min="3605" max="3605" width="2.85546875" style="2" customWidth="1"/>
    <col min="3606" max="3606" width="17.5703125" style="2" customWidth="1"/>
    <col min="3607" max="3607" width="8.85546875" style="2" customWidth="1"/>
    <col min="3608" max="3608" width="14.140625" style="2" customWidth="1"/>
    <col min="3609" max="3840" width="9.140625" style="2"/>
    <col min="3841" max="3841" width="18.42578125" style="2" customWidth="1"/>
    <col min="3842" max="3842" width="4.7109375" style="2" customWidth="1"/>
    <col min="3843" max="3843" width="14.140625" style="2" bestFit="1" customWidth="1"/>
    <col min="3844" max="3844" width="14.28515625" style="2" customWidth="1"/>
    <col min="3845" max="3845" width="12.28515625" style="2" customWidth="1"/>
    <col min="3846" max="3846" width="11.42578125" style="2" bestFit="1" customWidth="1"/>
    <col min="3847" max="3847" width="12.28515625" style="2" customWidth="1"/>
    <col min="3848" max="3848" width="13.85546875" style="2" customWidth="1"/>
    <col min="3849" max="3849" width="14.140625" style="2" customWidth="1"/>
    <col min="3850" max="3851" width="14.85546875" style="2" customWidth="1"/>
    <col min="3852" max="3852" width="12.5703125" style="2" bestFit="1" customWidth="1"/>
    <col min="3853" max="3853" width="16.28515625" style="2" bestFit="1" customWidth="1"/>
    <col min="3854" max="3854" width="13" style="2" bestFit="1" customWidth="1"/>
    <col min="3855" max="3855" width="11.85546875" style="2" customWidth="1"/>
    <col min="3856" max="3856" width="12.28515625" style="2" customWidth="1"/>
    <col min="3857" max="3857" width="13.28515625" style="2" customWidth="1"/>
    <col min="3858" max="3858" width="16.7109375" style="2" customWidth="1"/>
    <col min="3859" max="3859" width="5.42578125" style="2" customWidth="1"/>
    <col min="3860" max="3860" width="3.5703125" style="2" customWidth="1"/>
    <col min="3861" max="3861" width="2.85546875" style="2" customWidth="1"/>
    <col min="3862" max="3862" width="17.5703125" style="2" customWidth="1"/>
    <col min="3863" max="3863" width="8.85546875" style="2" customWidth="1"/>
    <col min="3864" max="3864" width="14.140625" style="2" customWidth="1"/>
    <col min="3865" max="4096" width="9.140625" style="2"/>
    <col min="4097" max="4097" width="18.42578125" style="2" customWidth="1"/>
    <col min="4098" max="4098" width="4.7109375" style="2" customWidth="1"/>
    <col min="4099" max="4099" width="14.140625" style="2" bestFit="1" customWidth="1"/>
    <col min="4100" max="4100" width="14.28515625" style="2" customWidth="1"/>
    <col min="4101" max="4101" width="12.28515625" style="2" customWidth="1"/>
    <col min="4102" max="4102" width="11.42578125" style="2" bestFit="1" customWidth="1"/>
    <col min="4103" max="4103" width="12.28515625" style="2" customWidth="1"/>
    <col min="4104" max="4104" width="13.85546875" style="2" customWidth="1"/>
    <col min="4105" max="4105" width="14.140625" style="2" customWidth="1"/>
    <col min="4106" max="4107" width="14.85546875" style="2" customWidth="1"/>
    <col min="4108" max="4108" width="12.5703125" style="2" bestFit="1" customWidth="1"/>
    <col min="4109" max="4109" width="16.28515625" style="2" bestFit="1" customWidth="1"/>
    <col min="4110" max="4110" width="13" style="2" bestFit="1" customWidth="1"/>
    <col min="4111" max="4111" width="11.85546875" style="2" customWidth="1"/>
    <col min="4112" max="4112" width="12.28515625" style="2" customWidth="1"/>
    <col min="4113" max="4113" width="13.28515625" style="2" customWidth="1"/>
    <col min="4114" max="4114" width="16.7109375" style="2" customWidth="1"/>
    <col min="4115" max="4115" width="5.42578125" style="2" customWidth="1"/>
    <col min="4116" max="4116" width="3.5703125" style="2" customWidth="1"/>
    <col min="4117" max="4117" width="2.85546875" style="2" customWidth="1"/>
    <col min="4118" max="4118" width="17.5703125" style="2" customWidth="1"/>
    <col min="4119" max="4119" width="8.85546875" style="2" customWidth="1"/>
    <col min="4120" max="4120" width="14.140625" style="2" customWidth="1"/>
    <col min="4121" max="4352" width="9.140625" style="2"/>
    <col min="4353" max="4353" width="18.42578125" style="2" customWidth="1"/>
    <col min="4354" max="4354" width="4.7109375" style="2" customWidth="1"/>
    <col min="4355" max="4355" width="14.140625" style="2" bestFit="1" customWidth="1"/>
    <col min="4356" max="4356" width="14.28515625" style="2" customWidth="1"/>
    <col min="4357" max="4357" width="12.28515625" style="2" customWidth="1"/>
    <col min="4358" max="4358" width="11.42578125" style="2" bestFit="1" customWidth="1"/>
    <col min="4359" max="4359" width="12.28515625" style="2" customWidth="1"/>
    <col min="4360" max="4360" width="13.85546875" style="2" customWidth="1"/>
    <col min="4361" max="4361" width="14.140625" style="2" customWidth="1"/>
    <col min="4362" max="4363" width="14.85546875" style="2" customWidth="1"/>
    <col min="4364" max="4364" width="12.5703125" style="2" bestFit="1" customWidth="1"/>
    <col min="4365" max="4365" width="16.28515625" style="2" bestFit="1" customWidth="1"/>
    <col min="4366" max="4366" width="13" style="2" bestFit="1" customWidth="1"/>
    <col min="4367" max="4367" width="11.85546875" style="2" customWidth="1"/>
    <col min="4368" max="4368" width="12.28515625" style="2" customWidth="1"/>
    <col min="4369" max="4369" width="13.28515625" style="2" customWidth="1"/>
    <col min="4370" max="4370" width="16.7109375" style="2" customWidth="1"/>
    <col min="4371" max="4371" width="5.42578125" style="2" customWidth="1"/>
    <col min="4372" max="4372" width="3.5703125" style="2" customWidth="1"/>
    <col min="4373" max="4373" width="2.85546875" style="2" customWidth="1"/>
    <col min="4374" max="4374" width="17.5703125" style="2" customWidth="1"/>
    <col min="4375" max="4375" width="8.85546875" style="2" customWidth="1"/>
    <col min="4376" max="4376" width="14.140625" style="2" customWidth="1"/>
    <col min="4377" max="4608" width="9.140625" style="2"/>
    <col min="4609" max="4609" width="18.42578125" style="2" customWidth="1"/>
    <col min="4610" max="4610" width="4.7109375" style="2" customWidth="1"/>
    <col min="4611" max="4611" width="14.140625" style="2" bestFit="1" customWidth="1"/>
    <col min="4612" max="4612" width="14.28515625" style="2" customWidth="1"/>
    <col min="4613" max="4613" width="12.28515625" style="2" customWidth="1"/>
    <col min="4614" max="4614" width="11.42578125" style="2" bestFit="1" customWidth="1"/>
    <col min="4615" max="4615" width="12.28515625" style="2" customWidth="1"/>
    <col min="4616" max="4616" width="13.85546875" style="2" customWidth="1"/>
    <col min="4617" max="4617" width="14.140625" style="2" customWidth="1"/>
    <col min="4618" max="4619" width="14.85546875" style="2" customWidth="1"/>
    <col min="4620" max="4620" width="12.5703125" style="2" bestFit="1" customWidth="1"/>
    <col min="4621" max="4621" width="16.28515625" style="2" bestFit="1" customWidth="1"/>
    <col min="4622" max="4622" width="13" style="2" bestFit="1" customWidth="1"/>
    <col min="4623" max="4623" width="11.85546875" style="2" customWidth="1"/>
    <col min="4624" max="4624" width="12.28515625" style="2" customWidth="1"/>
    <col min="4625" max="4625" width="13.28515625" style="2" customWidth="1"/>
    <col min="4626" max="4626" width="16.7109375" style="2" customWidth="1"/>
    <col min="4627" max="4627" width="5.42578125" style="2" customWidth="1"/>
    <col min="4628" max="4628" width="3.5703125" style="2" customWidth="1"/>
    <col min="4629" max="4629" width="2.85546875" style="2" customWidth="1"/>
    <col min="4630" max="4630" width="17.5703125" style="2" customWidth="1"/>
    <col min="4631" max="4631" width="8.85546875" style="2" customWidth="1"/>
    <col min="4632" max="4632" width="14.140625" style="2" customWidth="1"/>
    <col min="4633" max="4864" width="9.140625" style="2"/>
    <col min="4865" max="4865" width="18.42578125" style="2" customWidth="1"/>
    <col min="4866" max="4866" width="4.7109375" style="2" customWidth="1"/>
    <col min="4867" max="4867" width="14.140625" style="2" bestFit="1" customWidth="1"/>
    <col min="4868" max="4868" width="14.28515625" style="2" customWidth="1"/>
    <col min="4869" max="4869" width="12.28515625" style="2" customWidth="1"/>
    <col min="4870" max="4870" width="11.42578125" style="2" bestFit="1" customWidth="1"/>
    <col min="4871" max="4871" width="12.28515625" style="2" customWidth="1"/>
    <col min="4872" max="4872" width="13.85546875" style="2" customWidth="1"/>
    <col min="4873" max="4873" width="14.140625" style="2" customWidth="1"/>
    <col min="4874" max="4875" width="14.85546875" style="2" customWidth="1"/>
    <col min="4876" max="4876" width="12.5703125" style="2" bestFit="1" customWidth="1"/>
    <col min="4877" max="4877" width="16.28515625" style="2" bestFit="1" customWidth="1"/>
    <col min="4878" max="4878" width="13" style="2" bestFit="1" customWidth="1"/>
    <col min="4879" max="4879" width="11.85546875" style="2" customWidth="1"/>
    <col min="4880" max="4880" width="12.28515625" style="2" customWidth="1"/>
    <col min="4881" max="4881" width="13.28515625" style="2" customWidth="1"/>
    <col min="4882" max="4882" width="16.7109375" style="2" customWidth="1"/>
    <col min="4883" max="4883" width="5.42578125" style="2" customWidth="1"/>
    <col min="4884" max="4884" width="3.5703125" style="2" customWidth="1"/>
    <col min="4885" max="4885" width="2.85546875" style="2" customWidth="1"/>
    <col min="4886" max="4886" width="17.5703125" style="2" customWidth="1"/>
    <col min="4887" max="4887" width="8.85546875" style="2" customWidth="1"/>
    <col min="4888" max="4888" width="14.140625" style="2" customWidth="1"/>
    <col min="4889" max="5120" width="9.140625" style="2"/>
    <col min="5121" max="5121" width="18.42578125" style="2" customWidth="1"/>
    <col min="5122" max="5122" width="4.7109375" style="2" customWidth="1"/>
    <col min="5123" max="5123" width="14.140625" style="2" bestFit="1" customWidth="1"/>
    <col min="5124" max="5124" width="14.28515625" style="2" customWidth="1"/>
    <col min="5125" max="5125" width="12.28515625" style="2" customWidth="1"/>
    <col min="5126" max="5126" width="11.42578125" style="2" bestFit="1" customWidth="1"/>
    <col min="5127" max="5127" width="12.28515625" style="2" customWidth="1"/>
    <col min="5128" max="5128" width="13.85546875" style="2" customWidth="1"/>
    <col min="5129" max="5129" width="14.140625" style="2" customWidth="1"/>
    <col min="5130" max="5131" width="14.85546875" style="2" customWidth="1"/>
    <col min="5132" max="5132" width="12.5703125" style="2" bestFit="1" customWidth="1"/>
    <col min="5133" max="5133" width="16.28515625" style="2" bestFit="1" customWidth="1"/>
    <col min="5134" max="5134" width="13" style="2" bestFit="1" customWidth="1"/>
    <col min="5135" max="5135" width="11.85546875" style="2" customWidth="1"/>
    <col min="5136" max="5136" width="12.28515625" style="2" customWidth="1"/>
    <col min="5137" max="5137" width="13.28515625" style="2" customWidth="1"/>
    <col min="5138" max="5138" width="16.7109375" style="2" customWidth="1"/>
    <col min="5139" max="5139" width="5.42578125" style="2" customWidth="1"/>
    <col min="5140" max="5140" width="3.5703125" style="2" customWidth="1"/>
    <col min="5141" max="5141" width="2.85546875" style="2" customWidth="1"/>
    <col min="5142" max="5142" width="17.5703125" style="2" customWidth="1"/>
    <col min="5143" max="5143" width="8.85546875" style="2" customWidth="1"/>
    <col min="5144" max="5144" width="14.140625" style="2" customWidth="1"/>
    <col min="5145" max="5376" width="9.140625" style="2"/>
    <col min="5377" max="5377" width="18.42578125" style="2" customWidth="1"/>
    <col min="5378" max="5378" width="4.7109375" style="2" customWidth="1"/>
    <col min="5379" max="5379" width="14.140625" style="2" bestFit="1" customWidth="1"/>
    <col min="5380" max="5380" width="14.28515625" style="2" customWidth="1"/>
    <col min="5381" max="5381" width="12.28515625" style="2" customWidth="1"/>
    <col min="5382" max="5382" width="11.42578125" style="2" bestFit="1" customWidth="1"/>
    <col min="5383" max="5383" width="12.28515625" style="2" customWidth="1"/>
    <col min="5384" max="5384" width="13.85546875" style="2" customWidth="1"/>
    <col min="5385" max="5385" width="14.140625" style="2" customWidth="1"/>
    <col min="5386" max="5387" width="14.85546875" style="2" customWidth="1"/>
    <col min="5388" max="5388" width="12.5703125" style="2" bestFit="1" customWidth="1"/>
    <col min="5389" max="5389" width="16.28515625" style="2" bestFit="1" customWidth="1"/>
    <col min="5390" max="5390" width="13" style="2" bestFit="1" customWidth="1"/>
    <col min="5391" max="5391" width="11.85546875" style="2" customWidth="1"/>
    <col min="5392" max="5392" width="12.28515625" style="2" customWidth="1"/>
    <col min="5393" max="5393" width="13.28515625" style="2" customWidth="1"/>
    <col min="5394" max="5394" width="16.7109375" style="2" customWidth="1"/>
    <col min="5395" max="5395" width="5.42578125" style="2" customWidth="1"/>
    <col min="5396" max="5396" width="3.5703125" style="2" customWidth="1"/>
    <col min="5397" max="5397" width="2.85546875" style="2" customWidth="1"/>
    <col min="5398" max="5398" width="17.5703125" style="2" customWidth="1"/>
    <col min="5399" max="5399" width="8.85546875" style="2" customWidth="1"/>
    <col min="5400" max="5400" width="14.140625" style="2" customWidth="1"/>
    <col min="5401" max="5632" width="9.140625" style="2"/>
    <col min="5633" max="5633" width="18.42578125" style="2" customWidth="1"/>
    <col min="5634" max="5634" width="4.7109375" style="2" customWidth="1"/>
    <col min="5635" max="5635" width="14.140625" style="2" bestFit="1" customWidth="1"/>
    <col min="5636" max="5636" width="14.28515625" style="2" customWidth="1"/>
    <col min="5637" max="5637" width="12.28515625" style="2" customWidth="1"/>
    <col min="5638" max="5638" width="11.42578125" style="2" bestFit="1" customWidth="1"/>
    <col min="5639" max="5639" width="12.28515625" style="2" customWidth="1"/>
    <col min="5640" max="5640" width="13.85546875" style="2" customWidth="1"/>
    <col min="5641" max="5641" width="14.140625" style="2" customWidth="1"/>
    <col min="5642" max="5643" width="14.85546875" style="2" customWidth="1"/>
    <col min="5644" max="5644" width="12.5703125" style="2" bestFit="1" customWidth="1"/>
    <col min="5645" max="5645" width="16.28515625" style="2" bestFit="1" customWidth="1"/>
    <col min="5646" max="5646" width="13" style="2" bestFit="1" customWidth="1"/>
    <col min="5647" max="5647" width="11.85546875" style="2" customWidth="1"/>
    <col min="5648" max="5648" width="12.28515625" style="2" customWidth="1"/>
    <col min="5649" max="5649" width="13.28515625" style="2" customWidth="1"/>
    <col min="5650" max="5650" width="16.7109375" style="2" customWidth="1"/>
    <col min="5651" max="5651" width="5.42578125" style="2" customWidth="1"/>
    <col min="5652" max="5652" width="3.5703125" style="2" customWidth="1"/>
    <col min="5653" max="5653" width="2.85546875" style="2" customWidth="1"/>
    <col min="5654" max="5654" width="17.5703125" style="2" customWidth="1"/>
    <col min="5655" max="5655" width="8.85546875" style="2" customWidth="1"/>
    <col min="5656" max="5656" width="14.140625" style="2" customWidth="1"/>
    <col min="5657" max="5888" width="9.140625" style="2"/>
    <col min="5889" max="5889" width="18.42578125" style="2" customWidth="1"/>
    <col min="5890" max="5890" width="4.7109375" style="2" customWidth="1"/>
    <col min="5891" max="5891" width="14.140625" style="2" bestFit="1" customWidth="1"/>
    <col min="5892" max="5892" width="14.28515625" style="2" customWidth="1"/>
    <col min="5893" max="5893" width="12.28515625" style="2" customWidth="1"/>
    <col min="5894" max="5894" width="11.42578125" style="2" bestFit="1" customWidth="1"/>
    <col min="5895" max="5895" width="12.28515625" style="2" customWidth="1"/>
    <col min="5896" max="5896" width="13.85546875" style="2" customWidth="1"/>
    <col min="5897" max="5897" width="14.140625" style="2" customWidth="1"/>
    <col min="5898" max="5899" width="14.85546875" style="2" customWidth="1"/>
    <col min="5900" max="5900" width="12.5703125" style="2" bestFit="1" customWidth="1"/>
    <col min="5901" max="5901" width="16.28515625" style="2" bestFit="1" customWidth="1"/>
    <col min="5902" max="5902" width="13" style="2" bestFit="1" customWidth="1"/>
    <col min="5903" max="5903" width="11.85546875" style="2" customWidth="1"/>
    <col min="5904" max="5904" width="12.28515625" style="2" customWidth="1"/>
    <col min="5905" max="5905" width="13.28515625" style="2" customWidth="1"/>
    <col min="5906" max="5906" width="16.7109375" style="2" customWidth="1"/>
    <col min="5907" max="5907" width="5.42578125" style="2" customWidth="1"/>
    <col min="5908" max="5908" width="3.5703125" style="2" customWidth="1"/>
    <col min="5909" max="5909" width="2.85546875" style="2" customWidth="1"/>
    <col min="5910" max="5910" width="17.5703125" style="2" customWidth="1"/>
    <col min="5911" max="5911" width="8.85546875" style="2" customWidth="1"/>
    <col min="5912" max="5912" width="14.140625" style="2" customWidth="1"/>
    <col min="5913" max="6144" width="9.140625" style="2"/>
    <col min="6145" max="6145" width="18.42578125" style="2" customWidth="1"/>
    <col min="6146" max="6146" width="4.7109375" style="2" customWidth="1"/>
    <col min="6147" max="6147" width="14.140625" style="2" bestFit="1" customWidth="1"/>
    <col min="6148" max="6148" width="14.28515625" style="2" customWidth="1"/>
    <col min="6149" max="6149" width="12.28515625" style="2" customWidth="1"/>
    <col min="6150" max="6150" width="11.42578125" style="2" bestFit="1" customWidth="1"/>
    <col min="6151" max="6151" width="12.28515625" style="2" customWidth="1"/>
    <col min="6152" max="6152" width="13.85546875" style="2" customWidth="1"/>
    <col min="6153" max="6153" width="14.140625" style="2" customWidth="1"/>
    <col min="6154" max="6155" width="14.85546875" style="2" customWidth="1"/>
    <col min="6156" max="6156" width="12.5703125" style="2" bestFit="1" customWidth="1"/>
    <col min="6157" max="6157" width="16.28515625" style="2" bestFit="1" customWidth="1"/>
    <col min="6158" max="6158" width="13" style="2" bestFit="1" customWidth="1"/>
    <col min="6159" max="6159" width="11.85546875" style="2" customWidth="1"/>
    <col min="6160" max="6160" width="12.28515625" style="2" customWidth="1"/>
    <col min="6161" max="6161" width="13.28515625" style="2" customWidth="1"/>
    <col min="6162" max="6162" width="16.7109375" style="2" customWidth="1"/>
    <col min="6163" max="6163" width="5.42578125" style="2" customWidth="1"/>
    <col min="6164" max="6164" width="3.5703125" style="2" customWidth="1"/>
    <col min="6165" max="6165" width="2.85546875" style="2" customWidth="1"/>
    <col min="6166" max="6166" width="17.5703125" style="2" customWidth="1"/>
    <col min="6167" max="6167" width="8.85546875" style="2" customWidth="1"/>
    <col min="6168" max="6168" width="14.140625" style="2" customWidth="1"/>
    <col min="6169" max="6400" width="9.140625" style="2"/>
    <col min="6401" max="6401" width="18.42578125" style="2" customWidth="1"/>
    <col min="6402" max="6402" width="4.7109375" style="2" customWidth="1"/>
    <col min="6403" max="6403" width="14.140625" style="2" bestFit="1" customWidth="1"/>
    <col min="6404" max="6404" width="14.28515625" style="2" customWidth="1"/>
    <col min="6405" max="6405" width="12.28515625" style="2" customWidth="1"/>
    <col min="6406" max="6406" width="11.42578125" style="2" bestFit="1" customWidth="1"/>
    <col min="6407" max="6407" width="12.28515625" style="2" customWidth="1"/>
    <col min="6408" max="6408" width="13.85546875" style="2" customWidth="1"/>
    <col min="6409" max="6409" width="14.140625" style="2" customWidth="1"/>
    <col min="6410" max="6411" width="14.85546875" style="2" customWidth="1"/>
    <col min="6412" max="6412" width="12.5703125" style="2" bestFit="1" customWidth="1"/>
    <col min="6413" max="6413" width="16.28515625" style="2" bestFit="1" customWidth="1"/>
    <col min="6414" max="6414" width="13" style="2" bestFit="1" customWidth="1"/>
    <col min="6415" max="6415" width="11.85546875" style="2" customWidth="1"/>
    <col min="6416" max="6416" width="12.28515625" style="2" customWidth="1"/>
    <col min="6417" max="6417" width="13.28515625" style="2" customWidth="1"/>
    <col min="6418" max="6418" width="16.7109375" style="2" customWidth="1"/>
    <col min="6419" max="6419" width="5.42578125" style="2" customWidth="1"/>
    <col min="6420" max="6420" width="3.5703125" style="2" customWidth="1"/>
    <col min="6421" max="6421" width="2.85546875" style="2" customWidth="1"/>
    <col min="6422" max="6422" width="17.5703125" style="2" customWidth="1"/>
    <col min="6423" max="6423" width="8.85546875" style="2" customWidth="1"/>
    <col min="6424" max="6424" width="14.140625" style="2" customWidth="1"/>
    <col min="6425" max="6656" width="9.140625" style="2"/>
    <col min="6657" max="6657" width="18.42578125" style="2" customWidth="1"/>
    <col min="6658" max="6658" width="4.7109375" style="2" customWidth="1"/>
    <col min="6659" max="6659" width="14.140625" style="2" bestFit="1" customWidth="1"/>
    <col min="6660" max="6660" width="14.28515625" style="2" customWidth="1"/>
    <col min="6661" max="6661" width="12.28515625" style="2" customWidth="1"/>
    <col min="6662" max="6662" width="11.42578125" style="2" bestFit="1" customWidth="1"/>
    <col min="6663" max="6663" width="12.28515625" style="2" customWidth="1"/>
    <col min="6664" max="6664" width="13.85546875" style="2" customWidth="1"/>
    <col min="6665" max="6665" width="14.140625" style="2" customWidth="1"/>
    <col min="6666" max="6667" width="14.85546875" style="2" customWidth="1"/>
    <col min="6668" max="6668" width="12.5703125" style="2" bestFit="1" customWidth="1"/>
    <col min="6669" max="6669" width="16.28515625" style="2" bestFit="1" customWidth="1"/>
    <col min="6670" max="6670" width="13" style="2" bestFit="1" customWidth="1"/>
    <col min="6671" max="6671" width="11.85546875" style="2" customWidth="1"/>
    <col min="6672" max="6672" width="12.28515625" style="2" customWidth="1"/>
    <col min="6673" max="6673" width="13.28515625" style="2" customWidth="1"/>
    <col min="6674" max="6674" width="16.7109375" style="2" customWidth="1"/>
    <col min="6675" max="6675" width="5.42578125" style="2" customWidth="1"/>
    <col min="6676" max="6676" width="3.5703125" style="2" customWidth="1"/>
    <col min="6677" max="6677" width="2.85546875" style="2" customWidth="1"/>
    <col min="6678" max="6678" width="17.5703125" style="2" customWidth="1"/>
    <col min="6679" max="6679" width="8.85546875" style="2" customWidth="1"/>
    <col min="6680" max="6680" width="14.140625" style="2" customWidth="1"/>
    <col min="6681" max="6912" width="9.140625" style="2"/>
    <col min="6913" max="6913" width="18.42578125" style="2" customWidth="1"/>
    <col min="6914" max="6914" width="4.7109375" style="2" customWidth="1"/>
    <col min="6915" max="6915" width="14.140625" style="2" bestFit="1" customWidth="1"/>
    <col min="6916" max="6916" width="14.28515625" style="2" customWidth="1"/>
    <col min="6917" max="6917" width="12.28515625" style="2" customWidth="1"/>
    <col min="6918" max="6918" width="11.42578125" style="2" bestFit="1" customWidth="1"/>
    <col min="6919" max="6919" width="12.28515625" style="2" customWidth="1"/>
    <col min="6920" max="6920" width="13.85546875" style="2" customWidth="1"/>
    <col min="6921" max="6921" width="14.140625" style="2" customWidth="1"/>
    <col min="6922" max="6923" width="14.85546875" style="2" customWidth="1"/>
    <col min="6924" max="6924" width="12.5703125" style="2" bestFit="1" customWidth="1"/>
    <col min="6925" max="6925" width="16.28515625" style="2" bestFit="1" customWidth="1"/>
    <col min="6926" max="6926" width="13" style="2" bestFit="1" customWidth="1"/>
    <col min="6927" max="6927" width="11.85546875" style="2" customWidth="1"/>
    <col min="6928" max="6928" width="12.28515625" style="2" customWidth="1"/>
    <col min="6929" max="6929" width="13.28515625" style="2" customWidth="1"/>
    <col min="6930" max="6930" width="16.7109375" style="2" customWidth="1"/>
    <col min="6931" max="6931" width="5.42578125" style="2" customWidth="1"/>
    <col min="6932" max="6932" width="3.5703125" style="2" customWidth="1"/>
    <col min="6933" max="6933" width="2.85546875" style="2" customWidth="1"/>
    <col min="6934" max="6934" width="17.5703125" style="2" customWidth="1"/>
    <col min="6935" max="6935" width="8.85546875" style="2" customWidth="1"/>
    <col min="6936" max="6936" width="14.140625" style="2" customWidth="1"/>
    <col min="6937" max="7168" width="9.140625" style="2"/>
    <col min="7169" max="7169" width="18.42578125" style="2" customWidth="1"/>
    <col min="7170" max="7170" width="4.7109375" style="2" customWidth="1"/>
    <col min="7171" max="7171" width="14.140625" style="2" bestFit="1" customWidth="1"/>
    <col min="7172" max="7172" width="14.28515625" style="2" customWidth="1"/>
    <col min="7173" max="7173" width="12.28515625" style="2" customWidth="1"/>
    <col min="7174" max="7174" width="11.42578125" style="2" bestFit="1" customWidth="1"/>
    <col min="7175" max="7175" width="12.28515625" style="2" customWidth="1"/>
    <col min="7176" max="7176" width="13.85546875" style="2" customWidth="1"/>
    <col min="7177" max="7177" width="14.140625" style="2" customWidth="1"/>
    <col min="7178" max="7179" width="14.85546875" style="2" customWidth="1"/>
    <col min="7180" max="7180" width="12.5703125" style="2" bestFit="1" customWidth="1"/>
    <col min="7181" max="7181" width="16.28515625" style="2" bestFit="1" customWidth="1"/>
    <col min="7182" max="7182" width="13" style="2" bestFit="1" customWidth="1"/>
    <col min="7183" max="7183" width="11.85546875" style="2" customWidth="1"/>
    <col min="7184" max="7184" width="12.28515625" style="2" customWidth="1"/>
    <col min="7185" max="7185" width="13.28515625" style="2" customWidth="1"/>
    <col min="7186" max="7186" width="16.7109375" style="2" customWidth="1"/>
    <col min="7187" max="7187" width="5.42578125" style="2" customWidth="1"/>
    <col min="7188" max="7188" width="3.5703125" style="2" customWidth="1"/>
    <col min="7189" max="7189" width="2.85546875" style="2" customWidth="1"/>
    <col min="7190" max="7190" width="17.5703125" style="2" customWidth="1"/>
    <col min="7191" max="7191" width="8.85546875" style="2" customWidth="1"/>
    <col min="7192" max="7192" width="14.140625" style="2" customWidth="1"/>
    <col min="7193" max="7424" width="9.140625" style="2"/>
    <col min="7425" max="7425" width="18.42578125" style="2" customWidth="1"/>
    <col min="7426" max="7426" width="4.7109375" style="2" customWidth="1"/>
    <col min="7427" max="7427" width="14.140625" style="2" bestFit="1" customWidth="1"/>
    <col min="7428" max="7428" width="14.28515625" style="2" customWidth="1"/>
    <col min="7429" max="7429" width="12.28515625" style="2" customWidth="1"/>
    <col min="7430" max="7430" width="11.42578125" style="2" bestFit="1" customWidth="1"/>
    <col min="7431" max="7431" width="12.28515625" style="2" customWidth="1"/>
    <col min="7432" max="7432" width="13.85546875" style="2" customWidth="1"/>
    <col min="7433" max="7433" width="14.140625" style="2" customWidth="1"/>
    <col min="7434" max="7435" width="14.85546875" style="2" customWidth="1"/>
    <col min="7436" max="7436" width="12.5703125" style="2" bestFit="1" customWidth="1"/>
    <col min="7437" max="7437" width="16.28515625" style="2" bestFit="1" customWidth="1"/>
    <col min="7438" max="7438" width="13" style="2" bestFit="1" customWidth="1"/>
    <col min="7439" max="7439" width="11.85546875" style="2" customWidth="1"/>
    <col min="7440" max="7440" width="12.28515625" style="2" customWidth="1"/>
    <col min="7441" max="7441" width="13.28515625" style="2" customWidth="1"/>
    <col min="7442" max="7442" width="16.7109375" style="2" customWidth="1"/>
    <col min="7443" max="7443" width="5.42578125" style="2" customWidth="1"/>
    <col min="7444" max="7444" width="3.5703125" style="2" customWidth="1"/>
    <col min="7445" max="7445" width="2.85546875" style="2" customWidth="1"/>
    <col min="7446" max="7446" width="17.5703125" style="2" customWidth="1"/>
    <col min="7447" max="7447" width="8.85546875" style="2" customWidth="1"/>
    <col min="7448" max="7448" width="14.140625" style="2" customWidth="1"/>
    <col min="7449" max="7680" width="9.140625" style="2"/>
    <col min="7681" max="7681" width="18.42578125" style="2" customWidth="1"/>
    <col min="7682" max="7682" width="4.7109375" style="2" customWidth="1"/>
    <col min="7683" max="7683" width="14.140625" style="2" bestFit="1" customWidth="1"/>
    <col min="7684" max="7684" width="14.28515625" style="2" customWidth="1"/>
    <col min="7685" max="7685" width="12.28515625" style="2" customWidth="1"/>
    <col min="7686" max="7686" width="11.42578125" style="2" bestFit="1" customWidth="1"/>
    <col min="7687" max="7687" width="12.28515625" style="2" customWidth="1"/>
    <col min="7688" max="7688" width="13.85546875" style="2" customWidth="1"/>
    <col min="7689" max="7689" width="14.140625" style="2" customWidth="1"/>
    <col min="7690" max="7691" width="14.85546875" style="2" customWidth="1"/>
    <col min="7692" max="7692" width="12.5703125" style="2" bestFit="1" customWidth="1"/>
    <col min="7693" max="7693" width="16.28515625" style="2" bestFit="1" customWidth="1"/>
    <col min="7694" max="7694" width="13" style="2" bestFit="1" customWidth="1"/>
    <col min="7695" max="7695" width="11.85546875" style="2" customWidth="1"/>
    <col min="7696" max="7696" width="12.28515625" style="2" customWidth="1"/>
    <col min="7697" max="7697" width="13.28515625" style="2" customWidth="1"/>
    <col min="7698" max="7698" width="16.7109375" style="2" customWidth="1"/>
    <col min="7699" max="7699" width="5.42578125" style="2" customWidth="1"/>
    <col min="7700" max="7700" width="3.5703125" style="2" customWidth="1"/>
    <col min="7701" max="7701" width="2.85546875" style="2" customWidth="1"/>
    <col min="7702" max="7702" width="17.5703125" style="2" customWidth="1"/>
    <col min="7703" max="7703" width="8.85546875" style="2" customWidth="1"/>
    <col min="7704" max="7704" width="14.140625" style="2" customWidth="1"/>
    <col min="7705" max="7936" width="9.140625" style="2"/>
    <col min="7937" max="7937" width="18.42578125" style="2" customWidth="1"/>
    <col min="7938" max="7938" width="4.7109375" style="2" customWidth="1"/>
    <col min="7939" max="7939" width="14.140625" style="2" bestFit="1" customWidth="1"/>
    <col min="7940" max="7940" width="14.28515625" style="2" customWidth="1"/>
    <col min="7941" max="7941" width="12.28515625" style="2" customWidth="1"/>
    <col min="7942" max="7942" width="11.42578125" style="2" bestFit="1" customWidth="1"/>
    <col min="7943" max="7943" width="12.28515625" style="2" customWidth="1"/>
    <col min="7944" max="7944" width="13.85546875" style="2" customWidth="1"/>
    <col min="7945" max="7945" width="14.140625" style="2" customWidth="1"/>
    <col min="7946" max="7947" width="14.85546875" style="2" customWidth="1"/>
    <col min="7948" max="7948" width="12.5703125" style="2" bestFit="1" customWidth="1"/>
    <col min="7949" max="7949" width="16.28515625" style="2" bestFit="1" customWidth="1"/>
    <col min="7950" max="7950" width="13" style="2" bestFit="1" customWidth="1"/>
    <col min="7951" max="7951" width="11.85546875" style="2" customWidth="1"/>
    <col min="7952" max="7952" width="12.28515625" style="2" customWidth="1"/>
    <col min="7953" max="7953" width="13.28515625" style="2" customWidth="1"/>
    <col min="7954" max="7954" width="16.7109375" style="2" customWidth="1"/>
    <col min="7955" max="7955" width="5.42578125" style="2" customWidth="1"/>
    <col min="7956" max="7956" width="3.5703125" style="2" customWidth="1"/>
    <col min="7957" max="7957" width="2.85546875" style="2" customWidth="1"/>
    <col min="7958" max="7958" width="17.5703125" style="2" customWidth="1"/>
    <col min="7959" max="7959" width="8.85546875" style="2" customWidth="1"/>
    <col min="7960" max="7960" width="14.140625" style="2" customWidth="1"/>
    <col min="7961" max="8192" width="9.140625" style="2"/>
    <col min="8193" max="8193" width="18.42578125" style="2" customWidth="1"/>
    <col min="8194" max="8194" width="4.7109375" style="2" customWidth="1"/>
    <col min="8195" max="8195" width="14.140625" style="2" bestFit="1" customWidth="1"/>
    <col min="8196" max="8196" width="14.28515625" style="2" customWidth="1"/>
    <col min="8197" max="8197" width="12.28515625" style="2" customWidth="1"/>
    <col min="8198" max="8198" width="11.42578125" style="2" bestFit="1" customWidth="1"/>
    <col min="8199" max="8199" width="12.28515625" style="2" customWidth="1"/>
    <col min="8200" max="8200" width="13.85546875" style="2" customWidth="1"/>
    <col min="8201" max="8201" width="14.140625" style="2" customWidth="1"/>
    <col min="8202" max="8203" width="14.85546875" style="2" customWidth="1"/>
    <col min="8204" max="8204" width="12.5703125" style="2" bestFit="1" customWidth="1"/>
    <col min="8205" max="8205" width="16.28515625" style="2" bestFit="1" customWidth="1"/>
    <col min="8206" max="8206" width="13" style="2" bestFit="1" customWidth="1"/>
    <col min="8207" max="8207" width="11.85546875" style="2" customWidth="1"/>
    <col min="8208" max="8208" width="12.28515625" style="2" customWidth="1"/>
    <col min="8209" max="8209" width="13.28515625" style="2" customWidth="1"/>
    <col min="8210" max="8210" width="16.7109375" style="2" customWidth="1"/>
    <col min="8211" max="8211" width="5.42578125" style="2" customWidth="1"/>
    <col min="8212" max="8212" width="3.5703125" style="2" customWidth="1"/>
    <col min="8213" max="8213" width="2.85546875" style="2" customWidth="1"/>
    <col min="8214" max="8214" width="17.5703125" style="2" customWidth="1"/>
    <col min="8215" max="8215" width="8.85546875" style="2" customWidth="1"/>
    <col min="8216" max="8216" width="14.140625" style="2" customWidth="1"/>
    <col min="8217" max="8448" width="9.140625" style="2"/>
    <col min="8449" max="8449" width="18.42578125" style="2" customWidth="1"/>
    <col min="8450" max="8450" width="4.7109375" style="2" customWidth="1"/>
    <col min="8451" max="8451" width="14.140625" style="2" bestFit="1" customWidth="1"/>
    <col min="8452" max="8452" width="14.28515625" style="2" customWidth="1"/>
    <col min="8453" max="8453" width="12.28515625" style="2" customWidth="1"/>
    <col min="8454" max="8454" width="11.42578125" style="2" bestFit="1" customWidth="1"/>
    <col min="8455" max="8455" width="12.28515625" style="2" customWidth="1"/>
    <col min="8456" max="8456" width="13.85546875" style="2" customWidth="1"/>
    <col min="8457" max="8457" width="14.140625" style="2" customWidth="1"/>
    <col min="8458" max="8459" width="14.85546875" style="2" customWidth="1"/>
    <col min="8460" max="8460" width="12.5703125" style="2" bestFit="1" customWidth="1"/>
    <col min="8461" max="8461" width="16.28515625" style="2" bestFit="1" customWidth="1"/>
    <col min="8462" max="8462" width="13" style="2" bestFit="1" customWidth="1"/>
    <col min="8463" max="8463" width="11.85546875" style="2" customWidth="1"/>
    <col min="8464" max="8464" width="12.28515625" style="2" customWidth="1"/>
    <col min="8465" max="8465" width="13.28515625" style="2" customWidth="1"/>
    <col min="8466" max="8466" width="16.7109375" style="2" customWidth="1"/>
    <col min="8467" max="8467" width="5.42578125" style="2" customWidth="1"/>
    <col min="8468" max="8468" width="3.5703125" style="2" customWidth="1"/>
    <col min="8469" max="8469" width="2.85546875" style="2" customWidth="1"/>
    <col min="8470" max="8470" width="17.5703125" style="2" customWidth="1"/>
    <col min="8471" max="8471" width="8.85546875" style="2" customWidth="1"/>
    <col min="8472" max="8472" width="14.140625" style="2" customWidth="1"/>
    <col min="8473" max="8704" width="9.140625" style="2"/>
    <col min="8705" max="8705" width="18.42578125" style="2" customWidth="1"/>
    <col min="8706" max="8706" width="4.7109375" style="2" customWidth="1"/>
    <col min="8707" max="8707" width="14.140625" style="2" bestFit="1" customWidth="1"/>
    <col min="8708" max="8708" width="14.28515625" style="2" customWidth="1"/>
    <col min="8709" max="8709" width="12.28515625" style="2" customWidth="1"/>
    <col min="8710" max="8710" width="11.42578125" style="2" bestFit="1" customWidth="1"/>
    <col min="8711" max="8711" width="12.28515625" style="2" customWidth="1"/>
    <col min="8712" max="8712" width="13.85546875" style="2" customWidth="1"/>
    <col min="8713" max="8713" width="14.140625" style="2" customWidth="1"/>
    <col min="8714" max="8715" width="14.85546875" style="2" customWidth="1"/>
    <col min="8716" max="8716" width="12.5703125" style="2" bestFit="1" customWidth="1"/>
    <col min="8717" max="8717" width="16.28515625" style="2" bestFit="1" customWidth="1"/>
    <col min="8718" max="8718" width="13" style="2" bestFit="1" customWidth="1"/>
    <col min="8719" max="8719" width="11.85546875" style="2" customWidth="1"/>
    <col min="8720" max="8720" width="12.28515625" style="2" customWidth="1"/>
    <col min="8721" max="8721" width="13.28515625" style="2" customWidth="1"/>
    <col min="8722" max="8722" width="16.7109375" style="2" customWidth="1"/>
    <col min="8723" max="8723" width="5.42578125" style="2" customWidth="1"/>
    <col min="8724" max="8724" width="3.5703125" style="2" customWidth="1"/>
    <col min="8725" max="8725" width="2.85546875" style="2" customWidth="1"/>
    <col min="8726" max="8726" width="17.5703125" style="2" customWidth="1"/>
    <col min="8727" max="8727" width="8.85546875" style="2" customWidth="1"/>
    <col min="8728" max="8728" width="14.140625" style="2" customWidth="1"/>
    <col min="8729" max="8960" width="9.140625" style="2"/>
    <col min="8961" max="8961" width="18.42578125" style="2" customWidth="1"/>
    <col min="8962" max="8962" width="4.7109375" style="2" customWidth="1"/>
    <col min="8963" max="8963" width="14.140625" style="2" bestFit="1" customWidth="1"/>
    <col min="8964" max="8964" width="14.28515625" style="2" customWidth="1"/>
    <col min="8965" max="8965" width="12.28515625" style="2" customWidth="1"/>
    <col min="8966" max="8966" width="11.42578125" style="2" bestFit="1" customWidth="1"/>
    <col min="8967" max="8967" width="12.28515625" style="2" customWidth="1"/>
    <col min="8968" max="8968" width="13.85546875" style="2" customWidth="1"/>
    <col min="8969" max="8969" width="14.140625" style="2" customWidth="1"/>
    <col min="8970" max="8971" width="14.85546875" style="2" customWidth="1"/>
    <col min="8972" max="8972" width="12.5703125" style="2" bestFit="1" customWidth="1"/>
    <col min="8973" max="8973" width="16.28515625" style="2" bestFit="1" customWidth="1"/>
    <col min="8974" max="8974" width="13" style="2" bestFit="1" customWidth="1"/>
    <col min="8975" max="8975" width="11.85546875" style="2" customWidth="1"/>
    <col min="8976" max="8976" width="12.28515625" style="2" customWidth="1"/>
    <col min="8977" max="8977" width="13.28515625" style="2" customWidth="1"/>
    <col min="8978" max="8978" width="16.7109375" style="2" customWidth="1"/>
    <col min="8979" max="8979" width="5.42578125" style="2" customWidth="1"/>
    <col min="8980" max="8980" width="3.5703125" style="2" customWidth="1"/>
    <col min="8981" max="8981" width="2.85546875" style="2" customWidth="1"/>
    <col min="8982" max="8982" width="17.5703125" style="2" customWidth="1"/>
    <col min="8983" max="8983" width="8.85546875" style="2" customWidth="1"/>
    <col min="8984" max="8984" width="14.140625" style="2" customWidth="1"/>
    <col min="8985" max="9216" width="9.140625" style="2"/>
    <col min="9217" max="9217" width="18.42578125" style="2" customWidth="1"/>
    <col min="9218" max="9218" width="4.7109375" style="2" customWidth="1"/>
    <col min="9219" max="9219" width="14.140625" style="2" bestFit="1" customWidth="1"/>
    <col min="9220" max="9220" width="14.28515625" style="2" customWidth="1"/>
    <col min="9221" max="9221" width="12.28515625" style="2" customWidth="1"/>
    <col min="9222" max="9222" width="11.42578125" style="2" bestFit="1" customWidth="1"/>
    <col min="9223" max="9223" width="12.28515625" style="2" customWidth="1"/>
    <col min="9224" max="9224" width="13.85546875" style="2" customWidth="1"/>
    <col min="9225" max="9225" width="14.140625" style="2" customWidth="1"/>
    <col min="9226" max="9227" width="14.85546875" style="2" customWidth="1"/>
    <col min="9228" max="9228" width="12.5703125" style="2" bestFit="1" customWidth="1"/>
    <col min="9229" max="9229" width="16.28515625" style="2" bestFit="1" customWidth="1"/>
    <col min="9230" max="9230" width="13" style="2" bestFit="1" customWidth="1"/>
    <col min="9231" max="9231" width="11.85546875" style="2" customWidth="1"/>
    <col min="9232" max="9232" width="12.28515625" style="2" customWidth="1"/>
    <col min="9233" max="9233" width="13.28515625" style="2" customWidth="1"/>
    <col min="9234" max="9234" width="16.7109375" style="2" customWidth="1"/>
    <col min="9235" max="9235" width="5.42578125" style="2" customWidth="1"/>
    <col min="9236" max="9236" width="3.5703125" style="2" customWidth="1"/>
    <col min="9237" max="9237" width="2.85546875" style="2" customWidth="1"/>
    <col min="9238" max="9238" width="17.5703125" style="2" customWidth="1"/>
    <col min="9239" max="9239" width="8.85546875" style="2" customWidth="1"/>
    <col min="9240" max="9240" width="14.140625" style="2" customWidth="1"/>
    <col min="9241" max="9472" width="9.140625" style="2"/>
    <col min="9473" max="9473" width="18.42578125" style="2" customWidth="1"/>
    <col min="9474" max="9474" width="4.7109375" style="2" customWidth="1"/>
    <col min="9475" max="9475" width="14.140625" style="2" bestFit="1" customWidth="1"/>
    <col min="9476" max="9476" width="14.28515625" style="2" customWidth="1"/>
    <col min="9477" max="9477" width="12.28515625" style="2" customWidth="1"/>
    <col min="9478" max="9478" width="11.42578125" style="2" bestFit="1" customWidth="1"/>
    <col min="9479" max="9479" width="12.28515625" style="2" customWidth="1"/>
    <col min="9480" max="9480" width="13.85546875" style="2" customWidth="1"/>
    <col min="9481" max="9481" width="14.140625" style="2" customWidth="1"/>
    <col min="9482" max="9483" width="14.85546875" style="2" customWidth="1"/>
    <col min="9484" max="9484" width="12.5703125" style="2" bestFit="1" customWidth="1"/>
    <col min="9485" max="9485" width="16.28515625" style="2" bestFit="1" customWidth="1"/>
    <col min="9486" max="9486" width="13" style="2" bestFit="1" customWidth="1"/>
    <col min="9487" max="9487" width="11.85546875" style="2" customWidth="1"/>
    <col min="9488" max="9488" width="12.28515625" style="2" customWidth="1"/>
    <col min="9489" max="9489" width="13.28515625" style="2" customWidth="1"/>
    <col min="9490" max="9490" width="16.7109375" style="2" customWidth="1"/>
    <col min="9491" max="9491" width="5.42578125" style="2" customWidth="1"/>
    <col min="9492" max="9492" width="3.5703125" style="2" customWidth="1"/>
    <col min="9493" max="9493" width="2.85546875" style="2" customWidth="1"/>
    <col min="9494" max="9494" width="17.5703125" style="2" customWidth="1"/>
    <col min="9495" max="9495" width="8.85546875" style="2" customWidth="1"/>
    <col min="9496" max="9496" width="14.140625" style="2" customWidth="1"/>
    <col min="9497" max="9728" width="9.140625" style="2"/>
    <col min="9729" max="9729" width="18.42578125" style="2" customWidth="1"/>
    <col min="9730" max="9730" width="4.7109375" style="2" customWidth="1"/>
    <col min="9731" max="9731" width="14.140625" style="2" bestFit="1" customWidth="1"/>
    <col min="9732" max="9732" width="14.28515625" style="2" customWidth="1"/>
    <col min="9733" max="9733" width="12.28515625" style="2" customWidth="1"/>
    <col min="9734" max="9734" width="11.42578125" style="2" bestFit="1" customWidth="1"/>
    <col min="9735" max="9735" width="12.28515625" style="2" customWidth="1"/>
    <col min="9736" max="9736" width="13.85546875" style="2" customWidth="1"/>
    <col min="9737" max="9737" width="14.140625" style="2" customWidth="1"/>
    <col min="9738" max="9739" width="14.85546875" style="2" customWidth="1"/>
    <col min="9740" max="9740" width="12.5703125" style="2" bestFit="1" customWidth="1"/>
    <col min="9741" max="9741" width="16.28515625" style="2" bestFit="1" customWidth="1"/>
    <col min="9742" max="9742" width="13" style="2" bestFit="1" customWidth="1"/>
    <col min="9743" max="9743" width="11.85546875" style="2" customWidth="1"/>
    <col min="9744" max="9744" width="12.28515625" style="2" customWidth="1"/>
    <col min="9745" max="9745" width="13.28515625" style="2" customWidth="1"/>
    <col min="9746" max="9746" width="16.7109375" style="2" customWidth="1"/>
    <col min="9747" max="9747" width="5.42578125" style="2" customWidth="1"/>
    <col min="9748" max="9748" width="3.5703125" style="2" customWidth="1"/>
    <col min="9749" max="9749" width="2.85546875" style="2" customWidth="1"/>
    <col min="9750" max="9750" width="17.5703125" style="2" customWidth="1"/>
    <col min="9751" max="9751" width="8.85546875" style="2" customWidth="1"/>
    <col min="9752" max="9752" width="14.140625" style="2" customWidth="1"/>
    <col min="9753" max="9984" width="9.140625" style="2"/>
    <col min="9985" max="9985" width="18.42578125" style="2" customWidth="1"/>
    <col min="9986" max="9986" width="4.7109375" style="2" customWidth="1"/>
    <col min="9987" max="9987" width="14.140625" style="2" bestFit="1" customWidth="1"/>
    <col min="9988" max="9988" width="14.28515625" style="2" customWidth="1"/>
    <col min="9989" max="9989" width="12.28515625" style="2" customWidth="1"/>
    <col min="9990" max="9990" width="11.42578125" style="2" bestFit="1" customWidth="1"/>
    <col min="9991" max="9991" width="12.28515625" style="2" customWidth="1"/>
    <col min="9992" max="9992" width="13.85546875" style="2" customWidth="1"/>
    <col min="9993" max="9993" width="14.140625" style="2" customWidth="1"/>
    <col min="9994" max="9995" width="14.85546875" style="2" customWidth="1"/>
    <col min="9996" max="9996" width="12.5703125" style="2" bestFit="1" customWidth="1"/>
    <col min="9997" max="9997" width="16.28515625" style="2" bestFit="1" customWidth="1"/>
    <col min="9998" max="9998" width="13" style="2" bestFit="1" customWidth="1"/>
    <col min="9999" max="9999" width="11.85546875" style="2" customWidth="1"/>
    <col min="10000" max="10000" width="12.28515625" style="2" customWidth="1"/>
    <col min="10001" max="10001" width="13.28515625" style="2" customWidth="1"/>
    <col min="10002" max="10002" width="16.7109375" style="2" customWidth="1"/>
    <col min="10003" max="10003" width="5.42578125" style="2" customWidth="1"/>
    <col min="10004" max="10004" width="3.5703125" style="2" customWidth="1"/>
    <col min="10005" max="10005" width="2.85546875" style="2" customWidth="1"/>
    <col min="10006" max="10006" width="17.5703125" style="2" customWidth="1"/>
    <col min="10007" max="10007" width="8.85546875" style="2" customWidth="1"/>
    <col min="10008" max="10008" width="14.140625" style="2" customWidth="1"/>
    <col min="10009" max="10240" width="9.140625" style="2"/>
    <col min="10241" max="10241" width="18.42578125" style="2" customWidth="1"/>
    <col min="10242" max="10242" width="4.7109375" style="2" customWidth="1"/>
    <col min="10243" max="10243" width="14.140625" style="2" bestFit="1" customWidth="1"/>
    <col min="10244" max="10244" width="14.28515625" style="2" customWidth="1"/>
    <col min="10245" max="10245" width="12.28515625" style="2" customWidth="1"/>
    <col min="10246" max="10246" width="11.42578125" style="2" bestFit="1" customWidth="1"/>
    <col min="10247" max="10247" width="12.28515625" style="2" customWidth="1"/>
    <col min="10248" max="10248" width="13.85546875" style="2" customWidth="1"/>
    <col min="10249" max="10249" width="14.140625" style="2" customWidth="1"/>
    <col min="10250" max="10251" width="14.85546875" style="2" customWidth="1"/>
    <col min="10252" max="10252" width="12.5703125" style="2" bestFit="1" customWidth="1"/>
    <col min="10253" max="10253" width="16.28515625" style="2" bestFit="1" customWidth="1"/>
    <col min="10254" max="10254" width="13" style="2" bestFit="1" customWidth="1"/>
    <col min="10255" max="10255" width="11.85546875" style="2" customWidth="1"/>
    <col min="10256" max="10256" width="12.28515625" style="2" customWidth="1"/>
    <col min="10257" max="10257" width="13.28515625" style="2" customWidth="1"/>
    <col min="10258" max="10258" width="16.7109375" style="2" customWidth="1"/>
    <col min="10259" max="10259" width="5.42578125" style="2" customWidth="1"/>
    <col min="10260" max="10260" width="3.5703125" style="2" customWidth="1"/>
    <col min="10261" max="10261" width="2.85546875" style="2" customWidth="1"/>
    <col min="10262" max="10262" width="17.5703125" style="2" customWidth="1"/>
    <col min="10263" max="10263" width="8.85546875" style="2" customWidth="1"/>
    <col min="10264" max="10264" width="14.140625" style="2" customWidth="1"/>
    <col min="10265" max="10496" width="9.140625" style="2"/>
    <col min="10497" max="10497" width="18.42578125" style="2" customWidth="1"/>
    <col min="10498" max="10498" width="4.7109375" style="2" customWidth="1"/>
    <col min="10499" max="10499" width="14.140625" style="2" bestFit="1" customWidth="1"/>
    <col min="10500" max="10500" width="14.28515625" style="2" customWidth="1"/>
    <col min="10501" max="10501" width="12.28515625" style="2" customWidth="1"/>
    <col min="10502" max="10502" width="11.42578125" style="2" bestFit="1" customWidth="1"/>
    <col min="10503" max="10503" width="12.28515625" style="2" customWidth="1"/>
    <col min="10504" max="10504" width="13.85546875" style="2" customWidth="1"/>
    <col min="10505" max="10505" width="14.140625" style="2" customWidth="1"/>
    <col min="10506" max="10507" width="14.85546875" style="2" customWidth="1"/>
    <col min="10508" max="10508" width="12.5703125" style="2" bestFit="1" customWidth="1"/>
    <col min="10509" max="10509" width="16.28515625" style="2" bestFit="1" customWidth="1"/>
    <col min="10510" max="10510" width="13" style="2" bestFit="1" customWidth="1"/>
    <col min="10511" max="10511" width="11.85546875" style="2" customWidth="1"/>
    <col min="10512" max="10512" width="12.28515625" style="2" customWidth="1"/>
    <col min="10513" max="10513" width="13.28515625" style="2" customWidth="1"/>
    <col min="10514" max="10514" width="16.7109375" style="2" customWidth="1"/>
    <col min="10515" max="10515" width="5.42578125" style="2" customWidth="1"/>
    <col min="10516" max="10516" width="3.5703125" style="2" customWidth="1"/>
    <col min="10517" max="10517" width="2.85546875" style="2" customWidth="1"/>
    <col min="10518" max="10518" width="17.5703125" style="2" customWidth="1"/>
    <col min="10519" max="10519" width="8.85546875" style="2" customWidth="1"/>
    <col min="10520" max="10520" width="14.140625" style="2" customWidth="1"/>
    <col min="10521" max="10752" width="9.140625" style="2"/>
    <col min="10753" max="10753" width="18.42578125" style="2" customWidth="1"/>
    <col min="10754" max="10754" width="4.7109375" style="2" customWidth="1"/>
    <col min="10755" max="10755" width="14.140625" style="2" bestFit="1" customWidth="1"/>
    <col min="10756" max="10756" width="14.28515625" style="2" customWidth="1"/>
    <col min="10757" max="10757" width="12.28515625" style="2" customWidth="1"/>
    <col min="10758" max="10758" width="11.42578125" style="2" bestFit="1" customWidth="1"/>
    <col min="10759" max="10759" width="12.28515625" style="2" customWidth="1"/>
    <col min="10760" max="10760" width="13.85546875" style="2" customWidth="1"/>
    <col min="10761" max="10761" width="14.140625" style="2" customWidth="1"/>
    <col min="10762" max="10763" width="14.85546875" style="2" customWidth="1"/>
    <col min="10764" max="10764" width="12.5703125" style="2" bestFit="1" customWidth="1"/>
    <col min="10765" max="10765" width="16.28515625" style="2" bestFit="1" customWidth="1"/>
    <col min="10766" max="10766" width="13" style="2" bestFit="1" customWidth="1"/>
    <col min="10767" max="10767" width="11.85546875" style="2" customWidth="1"/>
    <col min="10768" max="10768" width="12.28515625" style="2" customWidth="1"/>
    <col min="10769" max="10769" width="13.28515625" style="2" customWidth="1"/>
    <col min="10770" max="10770" width="16.7109375" style="2" customWidth="1"/>
    <col min="10771" max="10771" width="5.42578125" style="2" customWidth="1"/>
    <col min="10772" max="10772" width="3.5703125" style="2" customWidth="1"/>
    <col min="10773" max="10773" width="2.85546875" style="2" customWidth="1"/>
    <col min="10774" max="10774" width="17.5703125" style="2" customWidth="1"/>
    <col min="10775" max="10775" width="8.85546875" style="2" customWidth="1"/>
    <col min="10776" max="10776" width="14.140625" style="2" customWidth="1"/>
    <col min="10777" max="11008" width="9.140625" style="2"/>
    <col min="11009" max="11009" width="18.42578125" style="2" customWidth="1"/>
    <col min="11010" max="11010" width="4.7109375" style="2" customWidth="1"/>
    <col min="11011" max="11011" width="14.140625" style="2" bestFit="1" customWidth="1"/>
    <col min="11012" max="11012" width="14.28515625" style="2" customWidth="1"/>
    <col min="11013" max="11013" width="12.28515625" style="2" customWidth="1"/>
    <col min="11014" max="11014" width="11.42578125" style="2" bestFit="1" customWidth="1"/>
    <col min="11015" max="11015" width="12.28515625" style="2" customWidth="1"/>
    <col min="11016" max="11016" width="13.85546875" style="2" customWidth="1"/>
    <col min="11017" max="11017" width="14.140625" style="2" customWidth="1"/>
    <col min="11018" max="11019" width="14.85546875" style="2" customWidth="1"/>
    <col min="11020" max="11020" width="12.5703125" style="2" bestFit="1" customWidth="1"/>
    <col min="11021" max="11021" width="16.28515625" style="2" bestFit="1" customWidth="1"/>
    <col min="11022" max="11022" width="13" style="2" bestFit="1" customWidth="1"/>
    <col min="11023" max="11023" width="11.85546875" style="2" customWidth="1"/>
    <col min="11024" max="11024" width="12.28515625" style="2" customWidth="1"/>
    <col min="11025" max="11025" width="13.28515625" style="2" customWidth="1"/>
    <col min="11026" max="11026" width="16.7109375" style="2" customWidth="1"/>
    <col min="11027" max="11027" width="5.42578125" style="2" customWidth="1"/>
    <col min="11028" max="11028" width="3.5703125" style="2" customWidth="1"/>
    <col min="11029" max="11029" width="2.85546875" style="2" customWidth="1"/>
    <col min="11030" max="11030" width="17.5703125" style="2" customWidth="1"/>
    <col min="11031" max="11031" width="8.85546875" style="2" customWidth="1"/>
    <col min="11032" max="11032" width="14.140625" style="2" customWidth="1"/>
    <col min="11033" max="11264" width="9.140625" style="2"/>
    <col min="11265" max="11265" width="18.42578125" style="2" customWidth="1"/>
    <col min="11266" max="11266" width="4.7109375" style="2" customWidth="1"/>
    <col min="11267" max="11267" width="14.140625" style="2" bestFit="1" customWidth="1"/>
    <col min="11268" max="11268" width="14.28515625" style="2" customWidth="1"/>
    <col min="11269" max="11269" width="12.28515625" style="2" customWidth="1"/>
    <col min="11270" max="11270" width="11.42578125" style="2" bestFit="1" customWidth="1"/>
    <col min="11271" max="11271" width="12.28515625" style="2" customWidth="1"/>
    <col min="11272" max="11272" width="13.85546875" style="2" customWidth="1"/>
    <col min="11273" max="11273" width="14.140625" style="2" customWidth="1"/>
    <col min="11274" max="11275" width="14.85546875" style="2" customWidth="1"/>
    <col min="11276" max="11276" width="12.5703125" style="2" bestFit="1" customWidth="1"/>
    <col min="11277" max="11277" width="16.28515625" style="2" bestFit="1" customWidth="1"/>
    <col min="11278" max="11278" width="13" style="2" bestFit="1" customWidth="1"/>
    <col min="11279" max="11279" width="11.85546875" style="2" customWidth="1"/>
    <col min="11280" max="11280" width="12.28515625" style="2" customWidth="1"/>
    <col min="11281" max="11281" width="13.28515625" style="2" customWidth="1"/>
    <col min="11282" max="11282" width="16.7109375" style="2" customWidth="1"/>
    <col min="11283" max="11283" width="5.42578125" style="2" customWidth="1"/>
    <col min="11284" max="11284" width="3.5703125" style="2" customWidth="1"/>
    <col min="11285" max="11285" width="2.85546875" style="2" customWidth="1"/>
    <col min="11286" max="11286" width="17.5703125" style="2" customWidth="1"/>
    <col min="11287" max="11287" width="8.85546875" style="2" customWidth="1"/>
    <col min="11288" max="11288" width="14.140625" style="2" customWidth="1"/>
    <col min="11289" max="11520" width="9.140625" style="2"/>
    <col min="11521" max="11521" width="18.42578125" style="2" customWidth="1"/>
    <col min="11522" max="11522" width="4.7109375" style="2" customWidth="1"/>
    <col min="11523" max="11523" width="14.140625" style="2" bestFit="1" customWidth="1"/>
    <col min="11524" max="11524" width="14.28515625" style="2" customWidth="1"/>
    <col min="11525" max="11525" width="12.28515625" style="2" customWidth="1"/>
    <col min="11526" max="11526" width="11.42578125" style="2" bestFit="1" customWidth="1"/>
    <col min="11527" max="11527" width="12.28515625" style="2" customWidth="1"/>
    <col min="11528" max="11528" width="13.85546875" style="2" customWidth="1"/>
    <col min="11529" max="11529" width="14.140625" style="2" customWidth="1"/>
    <col min="11530" max="11531" width="14.85546875" style="2" customWidth="1"/>
    <col min="11532" max="11532" width="12.5703125" style="2" bestFit="1" customWidth="1"/>
    <col min="11533" max="11533" width="16.28515625" style="2" bestFit="1" customWidth="1"/>
    <col min="11534" max="11534" width="13" style="2" bestFit="1" customWidth="1"/>
    <col min="11535" max="11535" width="11.85546875" style="2" customWidth="1"/>
    <col min="11536" max="11536" width="12.28515625" style="2" customWidth="1"/>
    <col min="11537" max="11537" width="13.28515625" style="2" customWidth="1"/>
    <col min="11538" max="11538" width="16.7109375" style="2" customWidth="1"/>
    <col min="11539" max="11539" width="5.42578125" style="2" customWidth="1"/>
    <col min="11540" max="11540" width="3.5703125" style="2" customWidth="1"/>
    <col min="11541" max="11541" width="2.85546875" style="2" customWidth="1"/>
    <col min="11542" max="11542" width="17.5703125" style="2" customWidth="1"/>
    <col min="11543" max="11543" width="8.85546875" style="2" customWidth="1"/>
    <col min="11544" max="11544" width="14.140625" style="2" customWidth="1"/>
    <col min="11545" max="11776" width="9.140625" style="2"/>
    <col min="11777" max="11777" width="18.42578125" style="2" customWidth="1"/>
    <col min="11778" max="11778" width="4.7109375" style="2" customWidth="1"/>
    <col min="11779" max="11779" width="14.140625" style="2" bestFit="1" customWidth="1"/>
    <col min="11780" max="11780" width="14.28515625" style="2" customWidth="1"/>
    <col min="11781" max="11781" width="12.28515625" style="2" customWidth="1"/>
    <col min="11782" max="11782" width="11.42578125" style="2" bestFit="1" customWidth="1"/>
    <col min="11783" max="11783" width="12.28515625" style="2" customWidth="1"/>
    <col min="11784" max="11784" width="13.85546875" style="2" customWidth="1"/>
    <col min="11785" max="11785" width="14.140625" style="2" customWidth="1"/>
    <col min="11786" max="11787" width="14.85546875" style="2" customWidth="1"/>
    <col min="11788" max="11788" width="12.5703125" style="2" bestFit="1" customWidth="1"/>
    <col min="11789" max="11789" width="16.28515625" style="2" bestFit="1" customWidth="1"/>
    <col min="11790" max="11790" width="13" style="2" bestFit="1" customWidth="1"/>
    <col min="11791" max="11791" width="11.85546875" style="2" customWidth="1"/>
    <col min="11792" max="11792" width="12.28515625" style="2" customWidth="1"/>
    <col min="11793" max="11793" width="13.28515625" style="2" customWidth="1"/>
    <col min="11794" max="11794" width="16.7109375" style="2" customWidth="1"/>
    <col min="11795" max="11795" width="5.42578125" style="2" customWidth="1"/>
    <col min="11796" max="11796" width="3.5703125" style="2" customWidth="1"/>
    <col min="11797" max="11797" width="2.85546875" style="2" customWidth="1"/>
    <col min="11798" max="11798" width="17.5703125" style="2" customWidth="1"/>
    <col min="11799" max="11799" width="8.85546875" style="2" customWidth="1"/>
    <col min="11800" max="11800" width="14.140625" style="2" customWidth="1"/>
    <col min="11801" max="12032" width="9.140625" style="2"/>
    <col min="12033" max="12033" width="18.42578125" style="2" customWidth="1"/>
    <col min="12034" max="12034" width="4.7109375" style="2" customWidth="1"/>
    <col min="12035" max="12035" width="14.140625" style="2" bestFit="1" customWidth="1"/>
    <col min="12036" max="12036" width="14.28515625" style="2" customWidth="1"/>
    <col min="12037" max="12037" width="12.28515625" style="2" customWidth="1"/>
    <col min="12038" max="12038" width="11.42578125" style="2" bestFit="1" customWidth="1"/>
    <col min="12039" max="12039" width="12.28515625" style="2" customWidth="1"/>
    <col min="12040" max="12040" width="13.85546875" style="2" customWidth="1"/>
    <col min="12041" max="12041" width="14.140625" style="2" customWidth="1"/>
    <col min="12042" max="12043" width="14.85546875" style="2" customWidth="1"/>
    <col min="12044" max="12044" width="12.5703125" style="2" bestFit="1" customWidth="1"/>
    <col min="12045" max="12045" width="16.28515625" style="2" bestFit="1" customWidth="1"/>
    <col min="12046" max="12046" width="13" style="2" bestFit="1" customWidth="1"/>
    <col min="12047" max="12047" width="11.85546875" style="2" customWidth="1"/>
    <col min="12048" max="12048" width="12.28515625" style="2" customWidth="1"/>
    <col min="12049" max="12049" width="13.28515625" style="2" customWidth="1"/>
    <col min="12050" max="12050" width="16.7109375" style="2" customWidth="1"/>
    <col min="12051" max="12051" width="5.42578125" style="2" customWidth="1"/>
    <col min="12052" max="12052" width="3.5703125" style="2" customWidth="1"/>
    <col min="12053" max="12053" width="2.85546875" style="2" customWidth="1"/>
    <col min="12054" max="12054" width="17.5703125" style="2" customWidth="1"/>
    <col min="12055" max="12055" width="8.85546875" style="2" customWidth="1"/>
    <col min="12056" max="12056" width="14.140625" style="2" customWidth="1"/>
    <col min="12057" max="12288" width="9.140625" style="2"/>
    <col min="12289" max="12289" width="18.42578125" style="2" customWidth="1"/>
    <col min="12290" max="12290" width="4.7109375" style="2" customWidth="1"/>
    <col min="12291" max="12291" width="14.140625" style="2" bestFit="1" customWidth="1"/>
    <col min="12292" max="12292" width="14.28515625" style="2" customWidth="1"/>
    <col min="12293" max="12293" width="12.28515625" style="2" customWidth="1"/>
    <col min="12294" max="12294" width="11.42578125" style="2" bestFit="1" customWidth="1"/>
    <col min="12295" max="12295" width="12.28515625" style="2" customWidth="1"/>
    <col min="12296" max="12296" width="13.85546875" style="2" customWidth="1"/>
    <col min="12297" max="12297" width="14.140625" style="2" customWidth="1"/>
    <col min="12298" max="12299" width="14.85546875" style="2" customWidth="1"/>
    <col min="12300" max="12300" width="12.5703125" style="2" bestFit="1" customWidth="1"/>
    <col min="12301" max="12301" width="16.28515625" style="2" bestFit="1" customWidth="1"/>
    <col min="12302" max="12302" width="13" style="2" bestFit="1" customWidth="1"/>
    <col min="12303" max="12303" width="11.85546875" style="2" customWidth="1"/>
    <col min="12304" max="12304" width="12.28515625" style="2" customWidth="1"/>
    <col min="12305" max="12305" width="13.28515625" style="2" customWidth="1"/>
    <col min="12306" max="12306" width="16.7109375" style="2" customWidth="1"/>
    <col min="12307" max="12307" width="5.42578125" style="2" customWidth="1"/>
    <col min="12308" max="12308" width="3.5703125" style="2" customWidth="1"/>
    <col min="12309" max="12309" width="2.85546875" style="2" customWidth="1"/>
    <col min="12310" max="12310" width="17.5703125" style="2" customWidth="1"/>
    <col min="12311" max="12311" width="8.85546875" style="2" customWidth="1"/>
    <col min="12312" max="12312" width="14.140625" style="2" customWidth="1"/>
    <col min="12313" max="12544" width="9.140625" style="2"/>
    <col min="12545" max="12545" width="18.42578125" style="2" customWidth="1"/>
    <col min="12546" max="12546" width="4.7109375" style="2" customWidth="1"/>
    <col min="12547" max="12547" width="14.140625" style="2" bestFit="1" customWidth="1"/>
    <col min="12548" max="12548" width="14.28515625" style="2" customWidth="1"/>
    <col min="12549" max="12549" width="12.28515625" style="2" customWidth="1"/>
    <col min="12550" max="12550" width="11.42578125" style="2" bestFit="1" customWidth="1"/>
    <col min="12551" max="12551" width="12.28515625" style="2" customWidth="1"/>
    <col min="12552" max="12552" width="13.85546875" style="2" customWidth="1"/>
    <col min="12553" max="12553" width="14.140625" style="2" customWidth="1"/>
    <col min="12554" max="12555" width="14.85546875" style="2" customWidth="1"/>
    <col min="12556" max="12556" width="12.5703125" style="2" bestFit="1" customWidth="1"/>
    <col min="12557" max="12557" width="16.28515625" style="2" bestFit="1" customWidth="1"/>
    <col min="12558" max="12558" width="13" style="2" bestFit="1" customWidth="1"/>
    <col min="12559" max="12559" width="11.85546875" style="2" customWidth="1"/>
    <col min="12560" max="12560" width="12.28515625" style="2" customWidth="1"/>
    <col min="12561" max="12561" width="13.28515625" style="2" customWidth="1"/>
    <col min="12562" max="12562" width="16.7109375" style="2" customWidth="1"/>
    <col min="12563" max="12563" width="5.42578125" style="2" customWidth="1"/>
    <col min="12564" max="12564" width="3.5703125" style="2" customWidth="1"/>
    <col min="12565" max="12565" width="2.85546875" style="2" customWidth="1"/>
    <col min="12566" max="12566" width="17.5703125" style="2" customWidth="1"/>
    <col min="12567" max="12567" width="8.85546875" style="2" customWidth="1"/>
    <col min="12568" max="12568" width="14.140625" style="2" customWidth="1"/>
    <col min="12569" max="12800" width="9.140625" style="2"/>
    <col min="12801" max="12801" width="18.42578125" style="2" customWidth="1"/>
    <col min="12802" max="12802" width="4.7109375" style="2" customWidth="1"/>
    <col min="12803" max="12803" width="14.140625" style="2" bestFit="1" customWidth="1"/>
    <col min="12804" max="12804" width="14.28515625" style="2" customWidth="1"/>
    <col min="12805" max="12805" width="12.28515625" style="2" customWidth="1"/>
    <col min="12806" max="12806" width="11.42578125" style="2" bestFit="1" customWidth="1"/>
    <col min="12807" max="12807" width="12.28515625" style="2" customWidth="1"/>
    <col min="12808" max="12808" width="13.85546875" style="2" customWidth="1"/>
    <col min="12809" max="12809" width="14.140625" style="2" customWidth="1"/>
    <col min="12810" max="12811" width="14.85546875" style="2" customWidth="1"/>
    <col min="12812" max="12812" width="12.5703125" style="2" bestFit="1" customWidth="1"/>
    <col min="12813" max="12813" width="16.28515625" style="2" bestFit="1" customWidth="1"/>
    <col min="12814" max="12814" width="13" style="2" bestFit="1" customWidth="1"/>
    <col min="12815" max="12815" width="11.85546875" style="2" customWidth="1"/>
    <col min="12816" max="12816" width="12.28515625" style="2" customWidth="1"/>
    <col min="12817" max="12817" width="13.28515625" style="2" customWidth="1"/>
    <col min="12818" max="12818" width="16.7109375" style="2" customWidth="1"/>
    <col min="12819" max="12819" width="5.42578125" style="2" customWidth="1"/>
    <col min="12820" max="12820" width="3.5703125" style="2" customWidth="1"/>
    <col min="12821" max="12821" width="2.85546875" style="2" customWidth="1"/>
    <col min="12822" max="12822" width="17.5703125" style="2" customWidth="1"/>
    <col min="12823" max="12823" width="8.85546875" style="2" customWidth="1"/>
    <col min="12824" max="12824" width="14.140625" style="2" customWidth="1"/>
    <col min="12825" max="13056" width="9.140625" style="2"/>
    <col min="13057" max="13057" width="18.42578125" style="2" customWidth="1"/>
    <col min="13058" max="13058" width="4.7109375" style="2" customWidth="1"/>
    <col min="13059" max="13059" width="14.140625" style="2" bestFit="1" customWidth="1"/>
    <col min="13060" max="13060" width="14.28515625" style="2" customWidth="1"/>
    <col min="13061" max="13061" width="12.28515625" style="2" customWidth="1"/>
    <col min="13062" max="13062" width="11.42578125" style="2" bestFit="1" customWidth="1"/>
    <col min="13063" max="13063" width="12.28515625" style="2" customWidth="1"/>
    <col min="13064" max="13064" width="13.85546875" style="2" customWidth="1"/>
    <col min="13065" max="13065" width="14.140625" style="2" customWidth="1"/>
    <col min="13066" max="13067" width="14.85546875" style="2" customWidth="1"/>
    <col min="13068" max="13068" width="12.5703125" style="2" bestFit="1" customWidth="1"/>
    <col min="13069" max="13069" width="16.28515625" style="2" bestFit="1" customWidth="1"/>
    <col min="13070" max="13070" width="13" style="2" bestFit="1" customWidth="1"/>
    <col min="13071" max="13071" width="11.85546875" style="2" customWidth="1"/>
    <col min="13072" max="13072" width="12.28515625" style="2" customWidth="1"/>
    <col min="13073" max="13073" width="13.28515625" style="2" customWidth="1"/>
    <col min="13074" max="13074" width="16.7109375" style="2" customWidth="1"/>
    <col min="13075" max="13075" width="5.42578125" style="2" customWidth="1"/>
    <col min="13076" max="13076" width="3.5703125" style="2" customWidth="1"/>
    <col min="13077" max="13077" width="2.85546875" style="2" customWidth="1"/>
    <col min="13078" max="13078" width="17.5703125" style="2" customWidth="1"/>
    <col min="13079" max="13079" width="8.85546875" style="2" customWidth="1"/>
    <col min="13080" max="13080" width="14.140625" style="2" customWidth="1"/>
    <col min="13081" max="13312" width="9.140625" style="2"/>
    <col min="13313" max="13313" width="18.42578125" style="2" customWidth="1"/>
    <col min="13314" max="13314" width="4.7109375" style="2" customWidth="1"/>
    <col min="13315" max="13315" width="14.140625" style="2" bestFit="1" customWidth="1"/>
    <col min="13316" max="13316" width="14.28515625" style="2" customWidth="1"/>
    <col min="13317" max="13317" width="12.28515625" style="2" customWidth="1"/>
    <col min="13318" max="13318" width="11.42578125" style="2" bestFit="1" customWidth="1"/>
    <col min="13319" max="13319" width="12.28515625" style="2" customWidth="1"/>
    <col min="13320" max="13320" width="13.85546875" style="2" customWidth="1"/>
    <col min="13321" max="13321" width="14.140625" style="2" customWidth="1"/>
    <col min="13322" max="13323" width="14.85546875" style="2" customWidth="1"/>
    <col min="13324" max="13324" width="12.5703125" style="2" bestFit="1" customWidth="1"/>
    <col min="13325" max="13325" width="16.28515625" style="2" bestFit="1" customWidth="1"/>
    <col min="13326" max="13326" width="13" style="2" bestFit="1" customWidth="1"/>
    <col min="13327" max="13327" width="11.85546875" style="2" customWidth="1"/>
    <col min="13328" max="13328" width="12.28515625" style="2" customWidth="1"/>
    <col min="13329" max="13329" width="13.28515625" style="2" customWidth="1"/>
    <col min="13330" max="13330" width="16.7109375" style="2" customWidth="1"/>
    <col min="13331" max="13331" width="5.42578125" style="2" customWidth="1"/>
    <col min="13332" max="13332" width="3.5703125" style="2" customWidth="1"/>
    <col min="13333" max="13333" width="2.85546875" style="2" customWidth="1"/>
    <col min="13334" max="13334" width="17.5703125" style="2" customWidth="1"/>
    <col min="13335" max="13335" width="8.85546875" style="2" customWidth="1"/>
    <col min="13336" max="13336" width="14.140625" style="2" customWidth="1"/>
    <col min="13337" max="13568" width="9.140625" style="2"/>
    <col min="13569" max="13569" width="18.42578125" style="2" customWidth="1"/>
    <col min="13570" max="13570" width="4.7109375" style="2" customWidth="1"/>
    <col min="13571" max="13571" width="14.140625" style="2" bestFit="1" customWidth="1"/>
    <col min="13572" max="13572" width="14.28515625" style="2" customWidth="1"/>
    <col min="13573" max="13573" width="12.28515625" style="2" customWidth="1"/>
    <col min="13574" max="13574" width="11.42578125" style="2" bestFit="1" customWidth="1"/>
    <col min="13575" max="13575" width="12.28515625" style="2" customWidth="1"/>
    <col min="13576" max="13576" width="13.85546875" style="2" customWidth="1"/>
    <col min="13577" max="13577" width="14.140625" style="2" customWidth="1"/>
    <col min="13578" max="13579" width="14.85546875" style="2" customWidth="1"/>
    <col min="13580" max="13580" width="12.5703125" style="2" bestFit="1" customWidth="1"/>
    <col min="13581" max="13581" width="16.28515625" style="2" bestFit="1" customWidth="1"/>
    <col min="13582" max="13582" width="13" style="2" bestFit="1" customWidth="1"/>
    <col min="13583" max="13583" width="11.85546875" style="2" customWidth="1"/>
    <col min="13584" max="13584" width="12.28515625" style="2" customWidth="1"/>
    <col min="13585" max="13585" width="13.28515625" style="2" customWidth="1"/>
    <col min="13586" max="13586" width="16.7109375" style="2" customWidth="1"/>
    <col min="13587" max="13587" width="5.42578125" style="2" customWidth="1"/>
    <col min="13588" max="13588" width="3.5703125" style="2" customWidth="1"/>
    <col min="13589" max="13589" width="2.85546875" style="2" customWidth="1"/>
    <col min="13590" max="13590" width="17.5703125" style="2" customWidth="1"/>
    <col min="13591" max="13591" width="8.85546875" style="2" customWidth="1"/>
    <col min="13592" max="13592" width="14.140625" style="2" customWidth="1"/>
    <col min="13593" max="13824" width="9.140625" style="2"/>
    <col min="13825" max="13825" width="18.42578125" style="2" customWidth="1"/>
    <col min="13826" max="13826" width="4.7109375" style="2" customWidth="1"/>
    <col min="13827" max="13827" width="14.140625" style="2" bestFit="1" customWidth="1"/>
    <col min="13828" max="13828" width="14.28515625" style="2" customWidth="1"/>
    <col min="13829" max="13829" width="12.28515625" style="2" customWidth="1"/>
    <col min="13830" max="13830" width="11.42578125" style="2" bestFit="1" customWidth="1"/>
    <col min="13831" max="13831" width="12.28515625" style="2" customWidth="1"/>
    <col min="13832" max="13832" width="13.85546875" style="2" customWidth="1"/>
    <col min="13833" max="13833" width="14.140625" style="2" customWidth="1"/>
    <col min="13834" max="13835" width="14.85546875" style="2" customWidth="1"/>
    <col min="13836" max="13836" width="12.5703125" style="2" bestFit="1" customWidth="1"/>
    <col min="13837" max="13837" width="16.28515625" style="2" bestFit="1" customWidth="1"/>
    <col min="13838" max="13838" width="13" style="2" bestFit="1" customWidth="1"/>
    <col min="13839" max="13839" width="11.85546875" style="2" customWidth="1"/>
    <col min="13840" max="13840" width="12.28515625" style="2" customWidth="1"/>
    <col min="13841" max="13841" width="13.28515625" style="2" customWidth="1"/>
    <col min="13842" max="13842" width="16.7109375" style="2" customWidth="1"/>
    <col min="13843" max="13843" width="5.42578125" style="2" customWidth="1"/>
    <col min="13844" max="13844" width="3.5703125" style="2" customWidth="1"/>
    <col min="13845" max="13845" width="2.85546875" style="2" customWidth="1"/>
    <col min="13846" max="13846" width="17.5703125" style="2" customWidth="1"/>
    <col min="13847" max="13847" width="8.85546875" style="2" customWidth="1"/>
    <col min="13848" max="13848" width="14.140625" style="2" customWidth="1"/>
    <col min="13849" max="14080" width="9.140625" style="2"/>
    <col min="14081" max="14081" width="18.42578125" style="2" customWidth="1"/>
    <col min="14082" max="14082" width="4.7109375" style="2" customWidth="1"/>
    <col min="14083" max="14083" width="14.140625" style="2" bestFit="1" customWidth="1"/>
    <col min="14084" max="14084" width="14.28515625" style="2" customWidth="1"/>
    <col min="14085" max="14085" width="12.28515625" style="2" customWidth="1"/>
    <col min="14086" max="14086" width="11.42578125" style="2" bestFit="1" customWidth="1"/>
    <col min="14087" max="14087" width="12.28515625" style="2" customWidth="1"/>
    <col min="14088" max="14088" width="13.85546875" style="2" customWidth="1"/>
    <col min="14089" max="14089" width="14.140625" style="2" customWidth="1"/>
    <col min="14090" max="14091" width="14.85546875" style="2" customWidth="1"/>
    <col min="14092" max="14092" width="12.5703125" style="2" bestFit="1" customWidth="1"/>
    <col min="14093" max="14093" width="16.28515625" style="2" bestFit="1" customWidth="1"/>
    <col min="14094" max="14094" width="13" style="2" bestFit="1" customWidth="1"/>
    <col min="14095" max="14095" width="11.85546875" style="2" customWidth="1"/>
    <col min="14096" max="14096" width="12.28515625" style="2" customWidth="1"/>
    <col min="14097" max="14097" width="13.28515625" style="2" customWidth="1"/>
    <col min="14098" max="14098" width="16.7109375" style="2" customWidth="1"/>
    <col min="14099" max="14099" width="5.42578125" style="2" customWidth="1"/>
    <col min="14100" max="14100" width="3.5703125" style="2" customWidth="1"/>
    <col min="14101" max="14101" width="2.85546875" style="2" customWidth="1"/>
    <col min="14102" max="14102" width="17.5703125" style="2" customWidth="1"/>
    <col min="14103" max="14103" width="8.85546875" style="2" customWidth="1"/>
    <col min="14104" max="14104" width="14.140625" style="2" customWidth="1"/>
    <col min="14105" max="14336" width="9.140625" style="2"/>
    <col min="14337" max="14337" width="18.42578125" style="2" customWidth="1"/>
    <col min="14338" max="14338" width="4.7109375" style="2" customWidth="1"/>
    <col min="14339" max="14339" width="14.140625" style="2" bestFit="1" customWidth="1"/>
    <col min="14340" max="14340" width="14.28515625" style="2" customWidth="1"/>
    <col min="14341" max="14341" width="12.28515625" style="2" customWidth="1"/>
    <col min="14342" max="14342" width="11.42578125" style="2" bestFit="1" customWidth="1"/>
    <col min="14343" max="14343" width="12.28515625" style="2" customWidth="1"/>
    <col min="14344" max="14344" width="13.85546875" style="2" customWidth="1"/>
    <col min="14345" max="14345" width="14.140625" style="2" customWidth="1"/>
    <col min="14346" max="14347" width="14.85546875" style="2" customWidth="1"/>
    <col min="14348" max="14348" width="12.5703125" style="2" bestFit="1" customWidth="1"/>
    <col min="14349" max="14349" width="16.28515625" style="2" bestFit="1" customWidth="1"/>
    <col min="14350" max="14350" width="13" style="2" bestFit="1" customWidth="1"/>
    <col min="14351" max="14351" width="11.85546875" style="2" customWidth="1"/>
    <col min="14352" max="14352" width="12.28515625" style="2" customWidth="1"/>
    <col min="14353" max="14353" width="13.28515625" style="2" customWidth="1"/>
    <col min="14354" max="14354" width="16.7109375" style="2" customWidth="1"/>
    <col min="14355" max="14355" width="5.42578125" style="2" customWidth="1"/>
    <col min="14356" max="14356" width="3.5703125" style="2" customWidth="1"/>
    <col min="14357" max="14357" width="2.85546875" style="2" customWidth="1"/>
    <col min="14358" max="14358" width="17.5703125" style="2" customWidth="1"/>
    <col min="14359" max="14359" width="8.85546875" style="2" customWidth="1"/>
    <col min="14360" max="14360" width="14.140625" style="2" customWidth="1"/>
    <col min="14361" max="14592" width="9.140625" style="2"/>
    <col min="14593" max="14593" width="18.42578125" style="2" customWidth="1"/>
    <col min="14594" max="14594" width="4.7109375" style="2" customWidth="1"/>
    <col min="14595" max="14595" width="14.140625" style="2" bestFit="1" customWidth="1"/>
    <col min="14596" max="14596" width="14.28515625" style="2" customWidth="1"/>
    <col min="14597" max="14597" width="12.28515625" style="2" customWidth="1"/>
    <col min="14598" max="14598" width="11.42578125" style="2" bestFit="1" customWidth="1"/>
    <col min="14599" max="14599" width="12.28515625" style="2" customWidth="1"/>
    <col min="14600" max="14600" width="13.85546875" style="2" customWidth="1"/>
    <col min="14601" max="14601" width="14.140625" style="2" customWidth="1"/>
    <col min="14602" max="14603" width="14.85546875" style="2" customWidth="1"/>
    <col min="14604" max="14604" width="12.5703125" style="2" bestFit="1" customWidth="1"/>
    <col min="14605" max="14605" width="16.28515625" style="2" bestFit="1" customWidth="1"/>
    <col min="14606" max="14606" width="13" style="2" bestFit="1" customWidth="1"/>
    <col min="14607" max="14607" width="11.85546875" style="2" customWidth="1"/>
    <col min="14608" max="14608" width="12.28515625" style="2" customWidth="1"/>
    <col min="14609" max="14609" width="13.28515625" style="2" customWidth="1"/>
    <col min="14610" max="14610" width="16.7109375" style="2" customWidth="1"/>
    <col min="14611" max="14611" width="5.42578125" style="2" customWidth="1"/>
    <col min="14612" max="14612" width="3.5703125" style="2" customWidth="1"/>
    <col min="14613" max="14613" width="2.85546875" style="2" customWidth="1"/>
    <col min="14614" max="14614" width="17.5703125" style="2" customWidth="1"/>
    <col min="14615" max="14615" width="8.85546875" style="2" customWidth="1"/>
    <col min="14616" max="14616" width="14.140625" style="2" customWidth="1"/>
    <col min="14617" max="14848" width="9.140625" style="2"/>
    <col min="14849" max="14849" width="18.42578125" style="2" customWidth="1"/>
    <col min="14850" max="14850" width="4.7109375" style="2" customWidth="1"/>
    <col min="14851" max="14851" width="14.140625" style="2" bestFit="1" customWidth="1"/>
    <col min="14852" max="14852" width="14.28515625" style="2" customWidth="1"/>
    <col min="14853" max="14853" width="12.28515625" style="2" customWidth="1"/>
    <col min="14854" max="14854" width="11.42578125" style="2" bestFit="1" customWidth="1"/>
    <col min="14855" max="14855" width="12.28515625" style="2" customWidth="1"/>
    <col min="14856" max="14856" width="13.85546875" style="2" customWidth="1"/>
    <col min="14857" max="14857" width="14.140625" style="2" customWidth="1"/>
    <col min="14858" max="14859" width="14.85546875" style="2" customWidth="1"/>
    <col min="14860" max="14860" width="12.5703125" style="2" bestFit="1" customWidth="1"/>
    <col min="14861" max="14861" width="16.28515625" style="2" bestFit="1" customWidth="1"/>
    <col min="14862" max="14862" width="13" style="2" bestFit="1" customWidth="1"/>
    <col min="14863" max="14863" width="11.85546875" style="2" customWidth="1"/>
    <col min="14864" max="14864" width="12.28515625" style="2" customWidth="1"/>
    <col min="14865" max="14865" width="13.28515625" style="2" customWidth="1"/>
    <col min="14866" max="14866" width="16.7109375" style="2" customWidth="1"/>
    <col min="14867" max="14867" width="5.42578125" style="2" customWidth="1"/>
    <col min="14868" max="14868" width="3.5703125" style="2" customWidth="1"/>
    <col min="14869" max="14869" width="2.85546875" style="2" customWidth="1"/>
    <col min="14870" max="14870" width="17.5703125" style="2" customWidth="1"/>
    <col min="14871" max="14871" width="8.85546875" style="2" customWidth="1"/>
    <col min="14872" max="14872" width="14.140625" style="2" customWidth="1"/>
    <col min="14873" max="15104" width="9.140625" style="2"/>
    <col min="15105" max="15105" width="18.42578125" style="2" customWidth="1"/>
    <col min="15106" max="15106" width="4.7109375" style="2" customWidth="1"/>
    <col min="15107" max="15107" width="14.140625" style="2" bestFit="1" customWidth="1"/>
    <col min="15108" max="15108" width="14.28515625" style="2" customWidth="1"/>
    <col min="15109" max="15109" width="12.28515625" style="2" customWidth="1"/>
    <col min="15110" max="15110" width="11.42578125" style="2" bestFit="1" customWidth="1"/>
    <col min="15111" max="15111" width="12.28515625" style="2" customWidth="1"/>
    <col min="15112" max="15112" width="13.85546875" style="2" customWidth="1"/>
    <col min="15113" max="15113" width="14.140625" style="2" customWidth="1"/>
    <col min="15114" max="15115" width="14.85546875" style="2" customWidth="1"/>
    <col min="15116" max="15116" width="12.5703125" style="2" bestFit="1" customWidth="1"/>
    <col min="15117" max="15117" width="16.28515625" style="2" bestFit="1" customWidth="1"/>
    <col min="15118" max="15118" width="13" style="2" bestFit="1" customWidth="1"/>
    <col min="15119" max="15119" width="11.85546875" style="2" customWidth="1"/>
    <col min="15120" max="15120" width="12.28515625" style="2" customWidth="1"/>
    <col min="15121" max="15121" width="13.28515625" style="2" customWidth="1"/>
    <col min="15122" max="15122" width="16.7109375" style="2" customWidth="1"/>
    <col min="15123" max="15123" width="5.42578125" style="2" customWidth="1"/>
    <col min="15124" max="15124" width="3.5703125" style="2" customWidth="1"/>
    <col min="15125" max="15125" width="2.85546875" style="2" customWidth="1"/>
    <col min="15126" max="15126" width="17.5703125" style="2" customWidth="1"/>
    <col min="15127" max="15127" width="8.85546875" style="2" customWidth="1"/>
    <col min="15128" max="15128" width="14.140625" style="2" customWidth="1"/>
    <col min="15129" max="15360" width="9.140625" style="2"/>
    <col min="15361" max="15361" width="18.42578125" style="2" customWidth="1"/>
    <col min="15362" max="15362" width="4.7109375" style="2" customWidth="1"/>
    <col min="15363" max="15363" width="14.140625" style="2" bestFit="1" customWidth="1"/>
    <col min="15364" max="15364" width="14.28515625" style="2" customWidth="1"/>
    <col min="15365" max="15365" width="12.28515625" style="2" customWidth="1"/>
    <col min="15366" max="15366" width="11.42578125" style="2" bestFit="1" customWidth="1"/>
    <col min="15367" max="15367" width="12.28515625" style="2" customWidth="1"/>
    <col min="15368" max="15368" width="13.85546875" style="2" customWidth="1"/>
    <col min="15369" max="15369" width="14.140625" style="2" customWidth="1"/>
    <col min="15370" max="15371" width="14.85546875" style="2" customWidth="1"/>
    <col min="15372" max="15372" width="12.5703125" style="2" bestFit="1" customWidth="1"/>
    <col min="15373" max="15373" width="16.28515625" style="2" bestFit="1" customWidth="1"/>
    <col min="15374" max="15374" width="13" style="2" bestFit="1" customWidth="1"/>
    <col min="15375" max="15375" width="11.85546875" style="2" customWidth="1"/>
    <col min="15376" max="15376" width="12.28515625" style="2" customWidth="1"/>
    <col min="15377" max="15377" width="13.28515625" style="2" customWidth="1"/>
    <col min="15378" max="15378" width="16.7109375" style="2" customWidth="1"/>
    <col min="15379" max="15379" width="5.42578125" style="2" customWidth="1"/>
    <col min="15380" max="15380" width="3.5703125" style="2" customWidth="1"/>
    <col min="15381" max="15381" width="2.85546875" style="2" customWidth="1"/>
    <col min="15382" max="15382" width="17.5703125" style="2" customWidth="1"/>
    <col min="15383" max="15383" width="8.85546875" style="2" customWidth="1"/>
    <col min="15384" max="15384" width="14.140625" style="2" customWidth="1"/>
    <col min="15385" max="15616" width="9.140625" style="2"/>
    <col min="15617" max="15617" width="18.42578125" style="2" customWidth="1"/>
    <col min="15618" max="15618" width="4.7109375" style="2" customWidth="1"/>
    <col min="15619" max="15619" width="14.140625" style="2" bestFit="1" customWidth="1"/>
    <col min="15620" max="15620" width="14.28515625" style="2" customWidth="1"/>
    <col min="15621" max="15621" width="12.28515625" style="2" customWidth="1"/>
    <col min="15622" max="15622" width="11.42578125" style="2" bestFit="1" customWidth="1"/>
    <col min="15623" max="15623" width="12.28515625" style="2" customWidth="1"/>
    <col min="15624" max="15624" width="13.85546875" style="2" customWidth="1"/>
    <col min="15625" max="15625" width="14.140625" style="2" customWidth="1"/>
    <col min="15626" max="15627" width="14.85546875" style="2" customWidth="1"/>
    <col min="15628" max="15628" width="12.5703125" style="2" bestFit="1" customWidth="1"/>
    <col min="15629" max="15629" width="16.28515625" style="2" bestFit="1" customWidth="1"/>
    <col min="15630" max="15630" width="13" style="2" bestFit="1" customWidth="1"/>
    <col min="15631" max="15631" width="11.85546875" style="2" customWidth="1"/>
    <col min="15632" max="15632" width="12.28515625" style="2" customWidth="1"/>
    <col min="15633" max="15633" width="13.28515625" style="2" customWidth="1"/>
    <col min="15634" max="15634" width="16.7109375" style="2" customWidth="1"/>
    <col min="15635" max="15635" width="5.42578125" style="2" customWidth="1"/>
    <col min="15636" max="15636" width="3.5703125" style="2" customWidth="1"/>
    <col min="15637" max="15637" width="2.85546875" style="2" customWidth="1"/>
    <col min="15638" max="15638" width="17.5703125" style="2" customWidth="1"/>
    <col min="15639" max="15639" width="8.85546875" style="2" customWidth="1"/>
    <col min="15640" max="15640" width="14.140625" style="2" customWidth="1"/>
    <col min="15641" max="15872" width="9.140625" style="2"/>
    <col min="15873" max="15873" width="18.42578125" style="2" customWidth="1"/>
    <col min="15874" max="15874" width="4.7109375" style="2" customWidth="1"/>
    <col min="15875" max="15875" width="14.140625" style="2" bestFit="1" customWidth="1"/>
    <col min="15876" max="15876" width="14.28515625" style="2" customWidth="1"/>
    <col min="15877" max="15877" width="12.28515625" style="2" customWidth="1"/>
    <col min="15878" max="15878" width="11.42578125" style="2" bestFit="1" customWidth="1"/>
    <col min="15879" max="15879" width="12.28515625" style="2" customWidth="1"/>
    <col min="15880" max="15880" width="13.85546875" style="2" customWidth="1"/>
    <col min="15881" max="15881" width="14.140625" style="2" customWidth="1"/>
    <col min="15882" max="15883" width="14.85546875" style="2" customWidth="1"/>
    <col min="15884" max="15884" width="12.5703125" style="2" bestFit="1" customWidth="1"/>
    <col min="15885" max="15885" width="16.28515625" style="2" bestFit="1" customWidth="1"/>
    <col min="15886" max="15886" width="13" style="2" bestFit="1" customWidth="1"/>
    <col min="15887" max="15887" width="11.85546875" style="2" customWidth="1"/>
    <col min="15888" max="15888" width="12.28515625" style="2" customWidth="1"/>
    <col min="15889" max="15889" width="13.28515625" style="2" customWidth="1"/>
    <col min="15890" max="15890" width="16.7109375" style="2" customWidth="1"/>
    <col min="15891" max="15891" width="5.42578125" style="2" customWidth="1"/>
    <col min="15892" max="15892" width="3.5703125" style="2" customWidth="1"/>
    <col min="15893" max="15893" width="2.85546875" style="2" customWidth="1"/>
    <col min="15894" max="15894" width="17.5703125" style="2" customWidth="1"/>
    <col min="15895" max="15895" width="8.85546875" style="2" customWidth="1"/>
    <col min="15896" max="15896" width="14.140625" style="2" customWidth="1"/>
    <col min="15897" max="16128" width="9.140625" style="2"/>
    <col min="16129" max="16129" width="18.42578125" style="2" customWidth="1"/>
    <col min="16130" max="16130" width="4.7109375" style="2" customWidth="1"/>
    <col min="16131" max="16131" width="14.140625" style="2" bestFit="1" customWidth="1"/>
    <col min="16132" max="16132" width="14.28515625" style="2" customWidth="1"/>
    <col min="16133" max="16133" width="12.28515625" style="2" customWidth="1"/>
    <col min="16134" max="16134" width="11.42578125" style="2" bestFit="1" customWidth="1"/>
    <col min="16135" max="16135" width="12.28515625" style="2" customWidth="1"/>
    <col min="16136" max="16136" width="13.85546875" style="2" customWidth="1"/>
    <col min="16137" max="16137" width="14.140625" style="2" customWidth="1"/>
    <col min="16138" max="16139" width="14.85546875" style="2" customWidth="1"/>
    <col min="16140" max="16140" width="12.5703125" style="2" bestFit="1" customWidth="1"/>
    <col min="16141" max="16141" width="16.28515625" style="2" bestFit="1" customWidth="1"/>
    <col min="16142" max="16142" width="13" style="2" bestFit="1" customWidth="1"/>
    <col min="16143" max="16143" width="11.85546875" style="2" customWidth="1"/>
    <col min="16144" max="16144" width="12.28515625" style="2" customWidth="1"/>
    <col min="16145" max="16145" width="13.28515625" style="2" customWidth="1"/>
    <col min="16146" max="16146" width="16.7109375" style="2" customWidth="1"/>
    <col min="16147" max="16147" width="5.42578125" style="2" customWidth="1"/>
    <col min="16148" max="16148" width="3.5703125" style="2" customWidth="1"/>
    <col min="16149" max="16149" width="2.85546875" style="2" customWidth="1"/>
    <col min="16150" max="16150" width="17.5703125" style="2" customWidth="1"/>
    <col min="16151" max="16151" width="8.85546875" style="2" customWidth="1"/>
    <col min="16152" max="16152" width="14.140625" style="2" customWidth="1"/>
    <col min="16153" max="16384" width="9.140625" style="2"/>
  </cols>
  <sheetData>
    <row r="1" spans="1:23" ht="15" thickBo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23" ht="15" thickBot="1" x14ac:dyDescent="0.3">
      <c r="A2" s="26" t="s">
        <v>96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3"/>
      <c r="P2" s="3"/>
      <c r="Q2" s="4"/>
      <c r="R2" s="4"/>
      <c r="S2" s="4"/>
      <c r="T2" s="4"/>
      <c r="U2" s="4"/>
      <c r="V2" s="4"/>
      <c r="W2" s="4"/>
    </row>
    <row r="3" spans="1:23" ht="76.5" customHeight="1" thickBot="1" x14ac:dyDescent="0.3">
      <c r="A3" s="27" t="s">
        <v>1</v>
      </c>
      <c r="B3" s="28" t="s">
        <v>2</v>
      </c>
      <c r="C3" s="28" t="s">
        <v>3</v>
      </c>
      <c r="D3" s="29" t="s">
        <v>4</v>
      </c>
      <c r="E3" s="30" t="s">
        <v>5</v>
      </c>
      <c r="F3" s="31" t="s">
        <v>6</v>
      </c>
      <c r="G3" s="32" t="s">
        <v>7</v>
      </c>
      <c r="H3" s="33" t="s">
        <v>8</v>
      </c>
      <c r="I3" s="34" t="s">
        <v>102</v>
      </c>
      <c r="J3" s="35" t="s">
        <v>9</v>
      </c>
      <c r="K3" s="35" t="s">
        <v>100</v>
      </c>
      <c r="L3" s="35" t="s">
        <v>10</v>
      </c>
      <c r="M3" s="36" t="s">
        <v>11</v>
      </c>
      <c r="N3" s="37" t="s">
        <v>12</v>
      </c>
      <c r="O3" s="38" t="s">
        <v>13</v>
      </c>
      <c r="P3" s="39" t="s">
        <v>14</v>
      </c>
      <c r="Q3" s="4"/>
      <c r="R3" s="4"/>
      <c r="S3" s="4"/>
      <c r="T3" s="4"/>
      <c r="U3" s="4"/>
      <c r="V3" s="4"/>
      <c r="W3" s="4"/>
    </row>
    <row r="4" spans="1:23" ht="24" x14ac:dyDescent="0.2">
      <c r="A4" s="40" t="s">
        <v>95</v>
      </c>
      <c r="B4" s="41" t="s">
        <v>15</v>
      </c>
      <c r="C4" s="42"/>
      <c r="D4" s="43">
        <v>1044.67</v>
      </c>
      <c r="E4" s="44"/>
      <c r="F4" s="45">
        <v>0</v>
      </c>
      <c r="G4" s="45"/>
      <c r="H4" s="46">
        <f>SUM(C4:F4)</f>
        <v>1044.67</v>
      </c>
      <c r="I4" s="47"/>
      <c r="J4" s="45">
        <f>'[2]AUMENTI CCNL 2019-2021'!D19-'[2]AUMENTI CCNL 2019-2021'!D21</f>
        <v>1201.3624999999993</v>
      </c>
      <c r="K4" s="45"/>
      <c r="L4" s="45">
        <f>(7.01+34.45)*12</f>
        <v>497.52</v>
      </c>
      <c r="M4" s="48">
        <f t="shared" ref="M4:M13" si="0">J4+L4</f>
        <v>1698.8824999999993</v>
      </c>
      <c r="N4" s="49">
        <f t="shared" ref="N4:N13" si="1">SUM(H4:L4)</f>
        <v>2743.5524999999993</v>
      </c>
      <c r="O4" s="50">
        <v>1154.5625</v>
      </c>
      <c r="P4" s="51">
        <f>J4-O4</f>
        <v>46.799999999999272</v>
      </c>
      <c r="Q4" s="52"/>
      <c r="R4" s="53"/>
    </row>
    <row r="5" spans="1:23" ht="36" x14ac:dyDescent="0.2">
      <c r="A5" s="40" t="s">
        <v>95</v>
      </c>
      <c r="B5" s="41" t="s">
        <v>16</v>
      </c>
      <c r="C5" s="42">
        <v>1850</v>
      </c>
      <c r="D5" s="42"/>
      <c r="E5" s="44"/>
      <c r="F5" s="54">
        <f>2000-25+930-650-34.72+2.2</f>
        <v>2222.48</v>
      </c>
      <c r="G5" s="45"/>
      <c r="H5" s="46">
        <f>SUM(C5:F5)</f>
        <v>4072.48</v>
      </c>
      <c r="I5" s="47"/>
      <c r="J5" s="45">
        <f>'[2]AUMENTI CCNL 2019-2021'!D33-'[2]AUMENTI CCNL 2019-2021'!D35+1124.9</f>
        <v>1807.5191666666674</v>
      </c>
      <c r="K5" s="45"/>
      <c r="L5" s="45">
        <f>((6+29.58)*12)</f>
        <v>426.96</v>
      </c>
      <c r="M5" s="48">
        <f t="shared" si="0"/>
        <v>2234.4791666666674</v>
      </c>
      <c r="N5" s="49">
        <f t="shared" si="1"/>
        <v>6306.9591666666674</v>
      </c>
      <c r="O5" s="50">
        <v>656.61916666666752</v>
      </c>
      <c r="P5" s="51">
        <v>26</v>
      </c>
      <c r="Q5" s="52"/>
      <c r="R5" s="55"/>
    </row>
    <row r="6" spans="1:23" ht="24" x14ac:dyDescent="0.2">
      <c r="A6" s="40" t="s">
        <v>95</v>
      </c>
      <c r="B6" s="56" t="s">
        <v>17</v>
      </c>
      <c r="C6" s="57">
        <f>1200/12*9.33</f>
        <v>933</v>
      </c>
      <c r="D6" s="41"/>
      <c r="E6" s="44"/>
      <c r="F6" s="54">
        <v>2000</v>
      </c>
      <c r="G6" s="45"/>
      <c r="H6" s="46">
        <f>SUM(C6:F6)</f>
        <v>2933</v>
      </c>
      <c r="I6" s="58"/>
      <c r="J6" s="45">
        <f>('[2]AUMENTI CCNL 2019-2021'!D16-'[2]AUMENTI CCNL 2019-2021'!D21)/12*9.33</f>
        <v>2954.8686645833336</v>
      </c>
      <c r="K6" s="45"/>
      <c r="L6" s="45">
        <f>(7.01+34.45)*12/12*9.33</f>
        <v>386.8218</v>
      </c>
      <c r="M6" s="48">
        <f t="shared" si="0"/>
        <v>3341.6904645833338</v>
      </c>
      <c r="N6" s="59">
        <f t="shared" si="1"/>
        <v>6274.6904645833329</v>
      </c>
      <c r="O6" s="50">
        <v>3465.7241666666678</v>
      </c>
      <c r="P6" s="51">
        <v>334.74999999999909</v>
      </c>
      <c r="Q6" s="52"/>
    </row>
    <row r="7" spans="1:23" ht="39.75" customHeight="1" x14ac:dyDescent="0.2">
      <c r="A7" s="40" t="s">
        <v>95</v>
      </c>
      <c r="B7" s="56" t="s">
        <v>18</v>
      </c>
      <c r="C7" s="41"/>
      <c r="D7" s="41"/>
      <c r="E7" s="44"/>
      <c r="F7" s="54"/>
      <c r="G7" s="45"/>
      <c r="H7" s="46">
        <f t="shared" ref="H7:H12" si="2">SUM(C7:F7)</f>
        <v>0</v>
      </c>
      <c r="I7" s="58"/>
      <c r="J7" s="45">
        <v>0</v>
      </c>
      <c r="K7" s="45"/>
      <c r="L7" s="45">
        <f>(7.95+39)*12/36*7</f>
        <v>109.55000000000001</v>
      </c>
      <c r="M7" s="48">
        <f t="shared" si="0"/>
        <v>109.55000000000001</v>
      </c>
      <c r="N7" s="59">
        <f t="shared" si="1"/>
        <v>109.55000000000001</v>
      </c>
      <c r="O7" s="50">
        <v>0</v>
      </c>
      <c r="P7" s="51">
        <f>J7-O7</f>
        <v>0</v>
      </c>
      <c r="Q7" s="52"/>
    </row>
    <row r="8" spans="1:23" ht="36" x14ac:dyDescent="0.2">
      <c r="A8" s="40" t="s">
        <v>95</v>
      </c>
      <c r="B8" s="41" t="s">
        <v>97</v>
      </c>
      <c r="C8" s="41"/>
      <c r="D8" s="41"/>
      <c r="E8" s="44"/>
      <c r="F8" s="54"/>
      <c r="G8" s="45"/>
      <c r="H8" s="46">
        <f t="shared" si="2"/>
        <v>0</v>
      </c>
      <c r="I8" s="58"/>
      <c r="J8" s="45">
        <f>('[2]AUMENTI CCNL 2019-2021'!K34-'[2]AUMENTI CCNL 2019-2021'!K35)/12*4/36*3+31.25</f>
        <v>40.022893518518487</v>
      </c>
      <c r="K8" s="45"/>
      <c r="L8" s="45">
        <f>(6+29.58)/12*4</f>
        <v>11.86</v>
      </c>
      <c r="M8" s="48">
        <f t="shared" si="0"/>
        <v>51.882893518518486</v>
      </c>
      <c r="N8" s="59">
        <f t="shared" si="1"/>
        <v>51.882893518518486</v>
      </c>
      <c r="O8" s="60"/>
      <c r="P8" s="61"/>
      <c r="Q8" s="52"/>
    </row>
    <row r="9" spans="1:23" ht="36" x14ac:dyDescent="0.2">
      <c r="A9" s="40" t="s">
        <v>95</v>
      </c>
      <c r="B9" s="41" t="s">
        <v>98</v>
      </c>
      <c r="C9" s="41"/>
      <c r="D9" s="41"/>
      <c r="E9" s="44"/>
      <c r="F9" s="54"/>
      <c r="G9" s="45"/>
      <c r="H9" s="46">
        <f t="shared" si="2"/>
        <v>0</v>
      </c>
      <c r="I9" s="58"/>
      <c r="J9" s="45">
        <f>1124.9/12*4/36*3</f>
        <v>31.247222222222224</v>
      </c>
      <c r="K9" s="45"/>
      <c r="L9" s="45">
        <f>(6+29.58)/12*4</f>
        <v>11.86</v>
      </c>
      <c r="M9" s="48">
        <f t="shared" si="0"/>
        <v>43.107222222222219</v>
      </c>
      <c r="N9" s="59">
        <f t="shared" si="1"/>
        <v>43.107222222222219</v>
      </c>
      <c r="O9" s="60"/>
      <c r="P9" s="61"/>
      <c r="Q9" s="52"/>
    </row>
    <row r="10" spans="1:23" ht="57.75" customHeight="1" x14ac:dyDescent="0.2">
      <c r="A10" s="40" t="s">
        <v>95</v>
      </c>
      <c r="B10" s="56" t="s">
        <v>18</v>
      </c>
      <c r="C10" s="41"/>
      <c r="D10" s="41"/>
      <c r="E10" s="44"/>
      <c r="F10" s="54"/>
      <c r="G10" s="45"/>
      <c r="H10" s="46">
        <f t="shared" si="2"/>
        <v>0</v>
      </c>
      <c r="I10" s="58"/>
      <c r="J10" s="45">
        <v>0</v>
      </c>
      <c r="K10" s="45"/>
      <c r="L10" s="45">
        <f>(7.95+39)*12/3/36*4</f>
        <v>20.866666666666671</v>
      </c>
      <c r="M10" s="48">
        <f t="shared" si="0"/>
        <v>20.866666666666671</v>
      </c>
      <c r="N10" s="59">
        <f t="shared" si="1"/>
        <v>20.866666666666671</v>
      </c>
      <c r="O10" s="60"/>
      <c r="P10" s="61"/>
      <c r="Q10" s="52"/>
    </row>
    <row r="11" spans="1:23" ht="53.25" customHeight="1" x14ac:dyDescent="0.2">
      <c r="A11" s="40" t="s">
        <v>95</v>
      </c>
      <c r="B11" s="56" t="s">
        <v>99</v>
      </c>
      <c r="C11" s="41"/>
      <c r="D11" s="41"/>
      <c r="E11" s="44"/>
      <c r="F11" s="54"/>
      <c r="G11" s="45"/>
      <c r="H11" s="46">
        <f t="shared" si="2"/>
        <v>0</v>
      </c>
      <c r="I11" s="58"/>
      <c r="J11" s="45">
        <f>('[2]AUMENTI CCNL 2019-2021'!K20-'[2]AUMENTI CCNL 2019-2021'!K21)/12*3/36*8</f>
        <v>29.714027777777826</v>
      </c>
      <c r="K11" s="45"/>
      <c r="L11" s="45">
        <f>(7.01+34.45)*12/12*3/36*8</f>
        <v>27.64</v>
      </c>
      <c r="M11" s="48">
        <f t="shared" si="0"/>
        <v>57.35402777777783</v>
      </c>
      <c r="N11" s="59">
        <f t="shared" si="1"/>
        <v>57.35402777777783</v>
      </c>
      <c r="O11" s="60"/>
      <c r="P11" s="61"/>
      <c r="Q11" s="52"/>
    </row>
    <row r="12" spans="1:23" ht="50.25" customHeight="1" x14ac:dyDescent="0.2">
      <c r="A12" s="40" t="s">
        <v>95</v>
      </c>
      <c r="B12" s="56" t="s">
        <v>101</v>
      </c>
      <c r="C12" s="41"/>
      <c r="D12" s="41"/>
      <c r="E12" s="44"/>
      <c r="F12" s="54"/>
      <c r="G12" s="45"/>
      <c r="H12" s="46">
        <f t="shared" si="2"/>
        <v>0</v>
      </c>
      <c r="I12" s="58"/>
      <c r="J12" s="45">
        <v>0</v>
      </c>
      <c r="K12" s="45"/>
      <c r="L12" s="45">
        <f>(7.01+34.45)*12/12*8.33/36*3</f>
        <v>28.780149999999999</v>
      </c>
      <c r="M12" s="48">
        <f t="shared" si="0"/>
        <v>28.780149999999999</v>
      </c>
      <c r="N12" s="59">
        <f t="shared" si="1"/>
        <v>28.780149999999999</v>
      </c>
      <c r="O12" s="60"/>
      <c r="P12" s="61"/>
      <c r="Q12" s="52"/>
    </row>
    <row r="13" spans="1:23" ht="36.75" thickBot="1" x14ac:dyDescent="0.25">
      <c r="A13" s="40" t="s">
        <v>95</v>
      </c>
      <c r="B13" s="56" t="s">
        <v>19</v>
      </c>
      <c r="C13" s="41"/>
      <c r="D13" s="41"/>
      <c r="E13" s="44">
        <f>2*300</f>
        <v>600</v>
      </c>
      <c r="F13" s="54">
        <v>980</v>
      </c>
      <c r="G13" s="45"/>
      <c r="H13" s="46">
        <f>SUM(C13:F13)</f>
        <v>1580</v>
      </c>
      <c r="I13" s="58"/>
      <c r="J13" s="45">
        <f>1124.9</f>
        <v>1124.9000000000001</v>
      </c>
      <c r="K13" s="45"/>
      <c r="L13" s="45">
        <f>(6+29.58)*12</f>
        <v>426.96</v>
      </c>
      <c r="M13" s="48">
        <f t="shared" si="0"/>
        <v>1551.8600000000001</v>
      </c>
      <c r="N13" s="59">
        <f t="shared" si="1"/>
        <v>3131.86</v>
      </c>
      <c r="O13" s="60">
        <v>0</v>
      </c>
      <c r="P13" s="61">
        <v>0</v>
      </c>
      <c r="Q13" s="52"/>
    </row>
    <row r="14" spans="1:23" ht="13.5" thickBot="1" x14ac:dyDescent="0.3">
      <c r="A14" s="62" t="s">
        <v>20</v>
      </c>
      <c r="B14" s="63" t="s">
        <v>21</v>
      </c>
      <c r="C14" s="64">
        <f>SUM(C4:C13)</f>
        <v>2783</v>
      </c>
      <c r="D14" s="64">
        <f>SUM(D4:D13)</f>
        <v>1044.67</v>
      </c>
      <c r="E14" s="64">
        <f>SUM(E4:E13)</f>
        <v>600</v>
      </c>
      <c r="F14" s="65">
        <f>SUM(F4:F13)</f>
        <v>5202.4799999999996</v>
      </c>
      <c r="G14" s="65">
        <f>M17</f>
        <v>577.80000000000007</v>
      </c>
      <c r="H14" s="64">
        <f>SUM(H4:H13)</f>
        <v>9630.15</v>
      </c>
      <c r="I14" s="65"/>
      <c r="J14" s="64">
        <f>SUM(J4:J13)</f>
        <v>7189.6344747685198</v>
      </c>
      <c r="K14" s="64">
        <v>650</v>
      </c>
      <c r="L14" s="64">
        <f>SUM(L4:L13)</f>
        <v>1948.8186166666665</v>
      </c>
      <c r="M14" s="66">
        <f>SUM(M4:M13)</f>
        <v>9138.4530914351853</v>
      </c>
      <c r="N14" s="67">
        <f>SUM(N4:N13)+G14+K14</f>
        <v>19996.403091435186</v>
      </c>
      <c r="O14" s="68"/>
      <c r="P14" s="69">
        <f>SUM(P4:P13)</f>
        <v>407.54999999999836</v>
      </c>
      <c r="Q14" s="70"/>
    </row>
    <row r="15" spans="1:23" s="1" customFormat="1" ht="14.25" customHeight="1" x14ac:dyDescent="0.25">
      <c r="A15" s="71" t="s">
        <v>103</v>
      </c>
      <c r="B15" s="71"/>
      <c r="C15" s="71"/>
      <c r="D15" s="71"/>
      <c r="E15" s="71"/>
      <c r="F15" s="71"/>
      <c r="G15" s="71"/>
      <c r="H15" s="71"/>
      <c r="I15" s="72"/>
      <c r="L15" s="235"/>
      <c r="M15" s="5"/>
      <c r="N15" s="235">
        <f>N14-I52</f>
        <v>-3.3213578717550263E-3</v>
      </c>
      <c r="P15" s="73"/>
    </row>
    <row r="16" spans="1:23" s="1" customFormat="1" ht="15.75" thickBot="1" x14ac:dyDescent="0.3">
      <c r="A16" s="74" t="s">
        <v>22</v>
      </c>
      <c r="B16" s="75"/>
      <c r="C16" s="75"/>
      <c r="D16" s="75"/>
      <c r="E16" s="75"/>
      <c r="F16" s="75"/>
      <c r="G16" s="75"/>
      <c r="H16" s="76"/>
      <c r="I16" s="77"/>
      <c r="J16" s="6"/>
      <c r="K16" s="6"/>
      <c r="L16" s="236">
        <v>937.07295278856327</v>
      </c>
      <c r="M16" s="237"/>
      <c r="N16" s="237"/>
      <c r="O16" s="70"/>
    </row>
    <row r="17" spans="1:16" s="1" customFormat="1" ht="15" customHeight="1" thickBot="1" x14ac:dyDescent="0.3">
      <c r="A17" s="78" t="s">
        <v>23</v>
      </c>
      <c r="B17" s="78"/>
      <c r="C17" s="78"/>
      <c r="D17" s="78"/>
      <c r="E17" s="78"/>
      <c r="F17" s="78"/>
      <c r="G17" s="78"/>
      <c r="H17" s="78"/>
      <c r="I17" s="79">
        <f>16564.61+210+1123.61+319.67</f>
        <v>18217.89</v>
      </c>
      <c r="J17" s="80" t="s">
        <v>24</v>
      </c>
      <c r="K17" s="6"/>
      <c r="L17" s="236">
        <v>5778</v>
      </c>
      <c r="M17" s="237">
        <f>L17/3/100*30</f>
        <v>577.80000000000007</v>
      </c>
      <c r="N17" s="238">
        <f>I14/3</f>
        <v>0</v>
      </c>
      <c r="O17" s="70"/>
      <c r="P17" s="73"/>
    </row>
    <row r="18" spans="1:16" s="1" customFormat="1" ht="15.75" thickBot="1" x14ac:dyDescent="0.3">
      <c r="A18" s="81" t="s">
        <v>25</v>
      </c>
      <c r="B18" s="82"/>
      <c r="C18" s="82"/>
      <c r="D18" s="82"/>
      <c r="E18" s="82"/>
      <c r="F18" s="82"/>
      <c r="G18" s="82"/>
      <c r="H18" s="83"/>
      <c r="I18" s="84">
        <v>488.72</v>
      </c>
      <c r="J18" s="80"/>
      <c r="K18" s="6"/>
      <c r="L18" s="236">
        <f>F14+G14</f>
        <v>5780.28</v>
      </c>
      <c r="M18" s="237"/>
      <c r="N18" s="237"/>
      <c r="O18" s="70"/>
    </row>
    <row r="19" spans="1:16" s="1" customFormat="1" ht="15.75" thickBot="1" x14ac:dyDescent="0.25">
      <c r="A19" s="81" t="s">
        <v>26</v>
      </c>
      <c r="B19" s="82"/>
      <c r="C19" s="82"/>
      <c r="D19" s="82"/>
      <c r="E19" s="82"/>
      <c r="F19" s="82"/>
      <c r="G19" s="82"/>
      <c r="H19" s="83"/>
      <c r="I19" s="84">
        <v>394.13</v>
      </c>
      <c r="J19" s="80"/>
      <c r="K19" s="6"/>
      <c r="L19" s="239">
        <f>L17-L18</f>
        <v>-2.2799999999997453</v>
      </c>
      <c r="M19" s="240"/>
      <c r="N19" s="240"/>
      <c r="O19" s="52"/>
    </row>
    <row r="20" spans="1:16" s="1" customFormat="1" ht="15.75" thickBot="1" x14ac:dyDescent="0.3">
      <c r="A20" s="85" t="s">
        <v>27</v>
      </c>
      <c r="B20" s="82"/>
      <c r="C20" s="82"/>
      <c r="D20" s="82"/>
      <c r="E20" s="82"/>
      <c r="F20" s="82"/>
      <c r="G20" s="82"/>
      <c r="H20" s="83"/>
      <c r="I20" s="84">
        <f>'[2]FONDO ANNO 2018'!I18</f>
        <v>157.65200000000002</v>
      </c>
      <c r="J20" s="80"/>
      <c r="K20" s="6"/>
      <c r="L20" s="239">
        <f>I20/100*39</f>
        <v>61.484280000000005</v>
      </c>
      <c r="M20" s="237" t="s">
        <v>28</v>
      </c>
      <c r="N20" s="240">
        <f>I20-L20</f>
        <v>96.167720000000003</v>
      </c>
      <c r="O20" s="52"/>
    </row>
    <row r="21" spans="1:16" s="1" customFormat="1" ht="15.75" thickBot="1" x14ac:dyDescent="0.25">
      <c r="A21" s="81" t="s">
        <v>29</v>
      </c>
      <c r="B21" s="82"/>
      <c r="C21" s="82"/>
      <c r="D21" s="82"/>
      <c r="E21" s="82"/>
      <c r="F21" s="82"/>
      <c r="G21" s="82"/>
      <c r="H21" s="83"/>
      <c r="I21" s="86">
        <v>735.33</v>
      </c>
      <c r="J21" s="80"/>
      <c r="K21" s="6"/>
      <c r="L21" s="21"/>
      <c r="M21" s="22"/>
      <c r="N21" s="20"/>
      <c r="O21" s="70"/>
      <c r="P21" s="7"/>
    </row>
    <row r="22" spans="1:16" s="1" customFormat="1" ht="15" customHeight="1" thickBot="1" x14ac:dyDescent="0.3">
      <c r="A22" s="87" t="s">
        <v>30</v>
      </c>
      <c r="B22" s="87"/>
      <c r="C22" s="87"/>
      <c r="D22" s="87"/>
      <c r="E22" s="87"/>
      <c r="F22" s="87"/>
      <c r="G22" s="87"/>
      <c r="H22" s="87"/>
      <c r="I22" s="86">
        <v>0</v>
      </c>
      <c r="J22" s="80"/>
      <c r="K22" s="6"/>
      <c r="L22" s="23"/>
      <c r="M22" s="24"/>
      <c r="N22" s="20"/>
      <c r="O22" s="88"/>
    </row>
    <row r="23" spans="1:16" s="1" customFormat="1" ht="30.75" customHeight="1" thickBot="1" x14ac:dyDescent="0.3">
      <c r="A23" s="78" t="s">
        <v>31</v>
      </c>
      <c r="B23" s="78"/>
      <c r="C23" s="78"/>
      <c r="D23" s="78"/>
      <c r="E23" s="78"/>
      <c r="F23" s="78"/>
      <c r="G23" s="78"/>
      <c r="H23" s="78"/>
      <c r="I23" s="86">
        <v>0</v>
      </c>
      <c r="J23" s="80"/>
      <c r="K23" s="6"/>
      <c r="L23" s="8"/>
      <c r="M23" s="89"/>
      <c r="N23" s="70"/>
      <c r="O23" s="88"/>
    </row>
    <row r="24" spans="1:16" s="1" customFormat="1" ht="15" customHeight="1" thickBot="1" x14ac:dyDescent="0.3">
      <c r="A24" s="90" t="s">
        <v>32</v>
      </c>
      <c r="B24" s="90"/>
      <c r="C24" s="90"/>
      <c r="D24" s="90"/>
      <c r="E24" s="90"/>
      <c r="F24" s="90"/>
      <c r="G24" s="90"/>
      <c r="H24" s="90"/>
      <c r="I24" s="84">
        <v>0</v>
      </c>
      <c r="J24" s="80"/>
      <c r="K24" s="6"/>
      <c r="L24" s="8"/>
      <c r="M24" s="89"/>
      <c r="N24" s="70"/>
      <c r="O24" s="88"/>
    </row>
    <row r="25" spans="1:16" s="1" customFormat="1" ht="33.75" customHeight="1" thickBot="1" x14ac:dyDescent="0.3">
      <c r="A25" s="78" t="s">
        <v>104</v>
      </c>
      <c r="B25" s="78"/>
      <c r="C25" s="78"/>
      <c r="D25" s="78"/>
      <c r="E25" s="78"/>
      <c r="F25" s="78"/>
      <c r="G25" s="78"/>
      <c r="H25" s="78"/>
      <c r="I25" s="84">
        <f>'[2]FONDO ANNO 2018'!I23+'[1]AUMENTO PEO 2019'!$X$26+'[1]AUMENTO PEO 2019'!$X$24/36*12+'[1]AUMENTO PEO 2019'!$X$18/36*12</f>
        <v>371.37236111110849</v>
      </c>
      <c r="J25" s="80"/>
      <c r="K25" s="6"/>
      <c r="L25" s="8"/>
      <c r="M25" s="89"/>
      <c r="N25" s="70"/>
      <c r="O25" s="88"/>
    </row>
    <row r="26" spans="1:16" s="1" customFormat="1" ht="32.25" customHeight="1" thickBot="1" x14ac:dyDescent="0.3">
      <c r="A26" s="90" t="s">
        <v>105</v>
      </c>
      <c r="B26" s="90"/>
      <c r="C26" s="90"/>
      <c r="D26" s="90"/>
      <c r="E26" s="90"/>
      <c r="F26" s="90"/>
      <c r="G26" s="90"/>
      <c r="H26" s="90"/>
      <c r="I26" s="84">
        <f>83.2*4</f>
        <v>332.8</v>
      </c>
      <c r="J26" s="80"/>
      <c r="K26" s="6"/>
      <c r="L26" s="9"/>
      <c r="M26" s="70"/>
      <c r="N26" s="70"/>
      <c r="O26" s="70"/>
    </row>
    <row r="27" spans="1:16" s="1" customFormat="1" ht="32.25" customHeight="1" x14ac:dyDescent="0.25">
      <c r="A27" s="91" t="s">
        <v>106</v>
      </c>
      <c r="B27" s="91"/>
      <c r="C27" s="91"/>
      <c r="D27" s="91"/>
      <c r="E27" s="91"/>
      <c r="F27" s="91"/>
      <c r="G27" s="91"/>
      <c r="H27" s="91"/>
      <c r="I27" s="92">
        <f>84.5*6</f>
        <v>507</v>
      </c>
      <c r="J27" s="6"/>
      <c r="K27" s="6"/>
      <c r="L27" s="9"/>
      <c r="M27" s="70"/>
      <c r="N27" s="70"/>
      <c r="O27" s="70"/>
    </row>
    <row r="28" spans="1:16" s="1" customFormat="1" ht="15" customHeight="1" x14ac:dyDescent="0.25">
      <c r="A28" s="91" t="s">
        <v>107</v>
      </c>
      <c r="B28" s="91"/>
      <c r="C28" s="91"/>
      <c r="D28" s="91"/>
      <c r="E28" s="91"/>
      <c r="F28" s="91"/>
      <c r="G28" s="91"/>
      <c r="H28" s="91"/>
      <c r="I28" s="92">
        <f>1124.9*2+31.25*2</f>
        <v>2312.3000000000002</v>
      </c>
      <c r="J28" s="6"/>
      <c r="K28" s="6"/>
      <c r="L28" s="9"/>
      <c r="M28" s="70"/>
      <c r="N28" s="70"/>
      <c r="O28" s="70"/>
    </row>
    <row r="29" spans="1:16" s="1" customFormat="1" ht="15" customHeight="1" x14ac:dyDescent="0.25">
      <c r="A29" s="91" t="s">
        <v>108</v>
      </c>
      <c r="B29" s="91"/>
      <c r="C29" s="91"/>
      <c r="D29" s="91"/>
      <c r="E29" s="91"/>
      <c r="F29" s="91"/>
      <c r="G29" s="91"/>
      <c r="H29" s="91"/>
      <c r="I29" s="92">
        <v>407.55</v>
      </c>
      <c r="J29" s="6"/>
      <c r="K29" s="6"/>
      <c r="L29" s="9"/>
      <c r="M29" s="70"/>
      <c r="N29" s="70"/>
      <c r="O29" s="70"/>
    </row>
    <row r="30" spans="1:16" s="1" customFormat="1" ht="14.25" customHeight="1" x14ac:dyDescent="0.25">
      <c r="A30" s="93" t="s">
        <v>33</v>
      </c>
      <c r="B30" s="93"/>
      <c r="C30" s="93"/>
      <c r="D30" s="93"/>
      <c r="E30" s="93"/>
      <c r="F30" s="93"/>
      <c r="G30" s="93"/>
      <c r="H30" s="93"/>
      <c r="I30" s="94">
        <f>SUM(I17:I29)</f>
        <v>23924.744361111108</v>
      </c>
      <c r="J30" s="6"/>
      <c r="K30" s="6"/>
      <c r="L30" s="9"/>
      <c r="M30" s="70"/>
      <c r="N30" s="70"/>
      <c r="O30" s="70"/>
    </row>
    <row r="31" spans="1:16" s="1" customFormat="1" ht="14.25" customHeight="1" x14ac:dyDescent="0.25">
      <c r="A31" s="74" t="s">
        <v>34</v>
      </c>
      <c r="B31" s="75"/>
      <c r="C31" s="75"/>
      <c r="D31" s="75"/>
      <c r="E31" s="75"/>
      <c r="F31" s="75"/>
      <c r="G31" s="75"/>
      <c r="H31" s="76"/>
      <c r="I31" s="77"/>
      <c r="J31" s="6"/>
      <c r="K31" s="6"/>
      <c r="L31" s="9"/>
      <c r="M31" s="70"/>
      <c r="N31" s="70"/>
      <c r="O31" s="70"/>
    </row>
    <row r="32" spans="1:16" s="1" customFormat="1" ht="37.5" customHeight="1" x14ac:dyDescent="0.25">
      <c r="A32" s="78" t="s">
        <v>109</v>
      </c>
      <c r="B32" s="78"/>
      <c r="C32" s="78"/>
      <c r="D32" s="78"/>
      <c r="E32" s="78"/>
      <c r="F32" s="78"/>
      <c r="G32" s="78"/>
      <c r="H32" s="78"/>
      <c r="I32" s="95">
        <f>'[2]FONDO NEO CCNL da farsi x 2023'!H79</f>
        <v>980.41376537386532</v>
      </c>
      <c r="J32" s="96"/>
      <c r="K32" s="96"/>
      <c r="L32" s="9"/>
      <c r="M32" s="70"/>
      <c r="N32" s="70"/>
      <c r="O32" s="70"/>
    </row>
    <row r="33" spans="1:16" s="1" customFormat="1" ht="39" customHeight="1" x14ac:dyDescent="0.25">
      <c r="A33" s="78" t="s">
        <v>110</v>
      </c>
      <c r="B33" s="78"/>
      <c r="C33" s="78"/>
      <c r="D33" s="78"/>
      <c r="E33" s="78"/>
      <c r="F33" s="78"/>
      <c r="G33" s="78"/>
      <c r="H33" s="78"/>
      <c r="I33" s="95">
        <v>0</v>
      </c>
      <c r="J33" s="6"/>
      <c r="K33" s="6"/>
      <c r="L33" s="9"/>
      <c r="M33" s="70"/>
      <c r="N33" s="70"/>
      <c r="O33" s="70"/>
    </row>
    <row r="34" spans="1:16" s="1" customFormat="1" ht="15" customHeight="1" x14ac:dyDescent="0.25">
      <c r="A34" s="78" t="s">
        <v>111</v>
      </c>
      <c r="B34" s="78"/>
      <c r="C34" s="78"/>
      <c r="D34" s="78"/>
      <c r="E34" s="78"/>
      <c r="F34" s="78"/>
      <c r="G34" s="78"/>
      <c r="H34" s="78"/>
      <c r="I34" s="95">
        <v>1044.67</v>
      </c>
      <c r="J34" s="97"/>
      <c r="K34" s="97"/>
      <c r="L34" s="9"/>
      <c r="M34" s="70"/>
      <c r="N34" s="70"/>
      <c r="O34" s="70"/>
    </row>
    <row r="35" spans="1:16" s="1" customFormat="1" ht="15" customHeight="1" x14ac:dyDescent="0.25">
      <c r="A35" s="78" t="s">
        <v>35</v>
      </c>
      <c r="B35" s="78"/>
      <c r="C35" s="78"/>
      <c r="D35" s="78"/>
      <c r="E35" s="78"/>
      <c r="F35" s="78"/>
      <c r="G35" s="78"/>
      <c r="H35" s="78"/>
      <c r="I35" s="86">
        <v>0</v>
      </c>
      <c r="J35" s="6"/>
      <c r="K35" s="6"/>
      <c r="L35" s="9"/>
      <c r="M35" s="70"/>
      <c r="N35" s="70"/>
      <c r="O35" s="70"/>
    </row>
    <row r="36" spans="1:16" s="1" customFormat="1" ht="12.75" customHeight="1" x14ac:dyDescent="0.25">
      <c r="A36" s="78" t="s">
        <v>36</v>
      </c>
      <c r="B36" s="78"/>
      <c r="C36" s="78"/>
      <c r="D36" s="78"/>
      <c r="E36" s="78"/>
      <c r="F36" s="78"/>
      <c r="G36" s="78"/>
      <c r="H36" s="78"/>
      <c r="I36" s="86">
        <v>0</v>
      </c>
      <c r="J36" s="6"/>
      <c r="K36" s="6"/>
      <c r="L36" s="73"/>
      <c r="N36" s="70"/>
      <c r="O36" s="70"/>
    </row>
    <row r="37" spans="1:16" s="1" customFormat="1" ht="15" customHeight="1" x14ac:dyDescent="0.25">
      <c r="A37" s="98" t="s">
        <v>112</v>
      </c>
      <c r="B37" s="98"/>
      <c r="C37" s="98"/>
      <c r="D37" s="98"/>
      <c r="E37" s="98"/>
      <c r="F37" s="98"/>
      <c r="G37" s="98"/>
      <c r="H37" s="98"/>
      <c r="I37" s="99">
        <f>G94</f>
        <v>81.868331832772725</v>
      </c>
      <c r="J37" s="6"/>
      <c r="K37" s="6"/>
      <c r="L37" s="73"/>
      <c r="N37" s="70"/>
      <c r="O37" s="70"/>
    </row>
    <row r="38" spans="1:16" s="1" customFormat="1" ht="40.5" customHeight="1" x14ac:dyDescent="0.25">
      <c r="A38" s="100" t="s">
        <v>113</v>
      </c>
      <c r="B38" s="100"/>
      <c r="C38" s="100"/>
      <c r="D38" s="100"/>
      <c r="E38" s="100"/>
      <c r="F38" s="100"/>
      <c r="G38" s="100"/>
      <c r="H38" s="100"/>
      <c r="I38" s="99">
        <v>0</v>
      </c>
      <c r="J38" s="6"/>
      <c r="K38" s="6"/>
      <c r="L38" s="73"/>
      <c r="N38" s="70"/>
      <c r="O38" s="70"/>
    </row>
    <row r="39" spans="1:16" s="1" customFormat="1" ht="15.75" customHeight="1" x14ac:dyDescent="0.25">
      <c r="A39" s="101" t="s">
        <v>114</v>
      </c>
      <c r="B39" s="101"/>
      <c r="C39" s="101"/>
      <c r="D39" s="101"/>
      <c r="E39" s="101"/>
      <c r="F39" s="101"/>
      <c r="G39" s="101"/>
      <c r="H39" s="101"/>
      <c r="I39" s="102">
        <f>SUM(I32:I38)</f>
        <v>2106.952097206638</v>
      </c>
      <c r="J39" s="10"/>
      <c r="K39" s="10"/>
      <c r="L39" s="236"/>
      <c r="M39" s="237"/>
      <c r="N39" s="237"/>
      <c r="O39" s="237"/>
      <c r="P39" s="5"/>
    </row>
    <row r="40" spans="1:16" s="1" customFormat="1" ht="19.5" customHeight="1" thickBot="1" x14ac:dyDescent="0.3">
      <c r="A40" s="103" t="s">
        <v>37</v>
      </c>
      <c r="B40" s="103"/>
      <c r="C40" s="103"/>
      <c r="D40" s="103"/>
      <c r="E40" s="103"/>
      <c r="F40" s="103"/>
      <c r="G40" s="103"/>
      <c r="H40" s="103"/>
      <c r="I40" s="102">
        <f>I30+I39</f>
        <v>26031.696458317747</v>
      </c>
      <c r="J40" s="10"/>
      <c r="K40" s="10"/>
      <c r="L40" s="235"/>
      <c r="M40" s="5"/>
      <c r="N40" s="237"/>
      <c r="O40" s="237"/>
      <c r="P40" s="5"/>
    </row>
    <row r="41" spans="1:16" s="1" customFormat="1" ht="17.45" customHeight="1" x14ac:dyDescent="0.25">
      <c r="A41" s="104" t="s">
        <v>38</v>
      </c>
      <c r="B41" s="104"/>
      <c r="C41" s="104"/>
      <c r="D41" s="104"/>
      <c r="E41" s="104"/>
      <c r="F41" s="104"/>
      <c r="G41" s="104"/>
      <c r="H41" s="104"/>
      <c r="I41" s="105"/>
      <c r="J41" s="10"/>
      <c r="K41" s="10"/>
      <c r="L41" s="236"/>
      <c r="M41" s="5"/>
      <c r="N41" s="237">
        <f>I42+I44+I45</f>
        <v>6035.2942800000001</v>
      </c>
      <c r="O41" s="237">
        <f>N41-5359.81</f>
        <v>675.48427999999967</v>
      </c>
      <c r="P41" s="5"/>
    </row>
    <row r="42" spans="1:16" s="1" customFormat="1" ht="30" customHeight="1" thickBot="1" x14ac:dyDescent="0.3">
      <c r="A42" s="106" t="s">
        <v>39</v>
      </c>
      <c r="B42" s="106"/>
      <c r="C42" s="106"/>
      <c r="D42" s="106"/>
      <c r="E42" s="106"/>
      <c r="F42" s="106"/>
      <c r="G42" s="106"/>
      <c r="H42" s="106"/>
      <c r="I42" s="107">
        <f>'[2]FONDO ANNO 2018'!I34</f>
        <v>5015.7747200000003</v>
      </c>
      <c r="J42" s="241">
        <f>I42/I51</f>
        <v>0.35933654556318961</v>
      </c>
      <c r="K42" s="241"/>
      <c r="L42" s="236" t="s">
        <v>40</v>
      </c>
      <c r="M42" s="5"/>
      <c r="N42" s="237"/>
      <c r="O42" s="237"/>
      <c r="P42" s="5"/>
    </row>
    <row r="43" spans="1:16" s="1" customFormat="1" ht="34.15" customHeight="1" x14ac:dyDescent="0.25">
      <c r="A43" s="108" t="s">
        <v>41</v>
      </c>
      <c r="B43" s="108"/>
      <c r="C43" s="108"/>
      <c r="D43" s="108"/>
      <c r="E43" s="108"/>
      <c r="F43" s="108"/>
      <c r="G43" s="108"/>
      <c r="H43" s="108"/>
      <c r="I43" s="105"/>
      <c r="J43" s="10"/>
      <c r="K43" s="10"/>
      <c r="L43" s="235">
        <f>I46-I49+I39+I25</f>
        <v>22474.730871110805</v>
      </c>
      <c r="M43" s="235">
        <f>I52-L43</f>
        <v>-2478.3244583177475</v>
      </c>
      <c r="N43" s="237">
        <f>I30-J46</f>
        <v>17889.450081111107</v>
      </c>
      <c r="O43" s="237"/>
      <c r="P43" s="5"/>
    </row>
    <row r="44" spans="1:16" s="1" customFormat="1" ht="34.15" customHeight="1" x14ac:dyDescent="0.25">
      <c r="A44" s="109" t="s">
        <v>42</v>
      </c>
      <c r="B44" s="109"/>
      <c r="C44" s="109"/>
      <c r="D44" s="109"/>
      <c r="E44" s="109"/>
      <c r="F44" s="109"/>
      <c r="G44" s="109"/>
      <c r="H44" s="109"/>
      <c r="I44" s="107">
        <f>'[2]FONDO ANNO 2018'!I36</f>
        <v>405.51956000000001</v>
      </c>
      <c r="J44" s="241">
        <f>I44/I51</f>
        <v>2.9051942318634397E-2</v>
      </c>
      <c r="K44" s="241"/>
      <c r="L44" s="235" t="e">
        <f>I50-#REF!</f>
        <v>#REF!</v>
      </c>
      <c r="M44" s="235"/>
      <c r="N44" s="237"/>
      <c r="O44" s="237"/>
      <c r="P44" s="5"/>
    </row>
    <row r="45" spans="1:16" s="1" customFormat="1" ht="34.15" customHeight="1" x14ac:dyDescent="0.25">
      <c r="A45" s="109" t="s">
        <v>43</v>
      </c>
      <c r="B45" s="109"/>
      <c r="C45" s="109"/>
      <c r="D45" s="109"/>
      <c r="E45" s="109"/>
      <c r="F45" s="109"/>
      <c r="G45" s="109"/>
      <c r="H45" s="109"/>
      <c r="I45" s="110">
        <f>'[2]FONDO ANNO 2018'!I37</f>
        <v>614</v>
      </c>
      <c r="J45" s="10"/>
      <c r="K45" s="10"/>
      <c r="L45" s="235"/>
      <c r="M45" s="235"/>
      <c r="N45" s="237"/>
      <c r="O45" s="237"/>
      <c r="P45" s="5"/>
    </row>
    <row r="46" spans="1:16" s="1" customFormat="1" ht="30.6" customHeight="1" x14ac:dyDescent="0.25">
      <c r="A46" s="101" t="s">
        <v>44</v>
      </c>
      <c r="B46" s="101"/>
      <c r="C46" s="101"/>
      <c r="D46" s="101"/>
      <c r="E46" s="101"/>
      <c r="F46" s="101"/>
      <c r="G46" s="101"/>
      <c r="H46" s="101"/>
      <c r="I46" s="111">
        <f>I40-I42-I44-I45</f>
        <v>19996.402178317745</v>
      </c>
      <c r="J46" s="10">
        <f>I40-I46</f>
        <v>6035.2942800000019</v>
      </c>
      <c r="K46" s="10"/>
      <c r="L46" s="235">
        <f>I30-J46</f>
        <v>17889.450081111107</v>
      </c>
      <c r="M46" s="235"/>
      <c r="N46" s="237"/>
      <c r="O46" s="237"/>
      <c r="P46" s="5"/>
    </row>
    <row r="47" spans="1:16" s="1" customFormat="1" ht="30.6" customHeight="1" x14ac:dyDescent="0.25">
      <c r="A47" s="101" t="s">
        <v>115</v>
      </c>
      <c r="B47" s="101"/>
      <c r="C47" s="101"/>
      <c r="D47" s="101"/>
      <c r="E47" s="101"/>
      <c r="F47" s="101"/>
      <c r="G47" s="101"/>
      <c r="H47" s="101"/>
      <c r="I47" s="112">
        <f>I48+L62+L73</f>
        <v>22458.427720000003</v>
      </c>
      <c r="J47" s="10"/>
      <c r="K47" s="10"/>
      <c r="L47" s="235">
        <f>I46-I49</f>
        <v>19996.406412793058</v>
      </c>
      <c r="M47" s="235">
        <f>I50+I32+I26+I25-L59</f>
        <v>12255.630580960289</v>
      </c>
      <c r="N47" s="237">
        <f>I52-M47</f>
        <v>7740.7758318327687</v>
      </c>
      <c r="O47" s="237"/>
      <c r="P47" s="5"/>
    </row>
    <row r="48" spans="1:16" s="1" customFormat="1" ht="30.6" customHeight="1" x14ac:dyDescent="0.25">
      <c r="A48" s="101" t="s">
        <v>116</v>
      </c>
      <c r="B48" s="101"/>
      <c r="C48" s="101"/>
      <c r="D48" s="101"/>
      <c r="E48" s="101"/>
      <c r="F48" s="101"/>
      <c r="G48" s="101"/>
      <c r="H48" s="101"/>
      <c r="I48" s="113">
        <f>I40-I42-I44-I45-I25-I26-I32-I34-I29-I37-I38-I28-I27</f>
        <v>13958.427720000003</v>
      </c>
      <c r="J48" s="10"/>
      <c r="K48" s="10"/>
      <c r="L48" s="236"/>
      <c r="M48" s="237"/>
      <c r="N48" s="5"/>
      <c r="O48" s="5"/>
      <c r="P48" s="5"/>
    </row>
    <row r="49" spans="1:17" s="1" customFormat="1" ht="32.25" customHeight="1" thickBot="1" x14ac:dyDescent="0.3">
      <c r="A49" s="114" t="s">
        <v>45</v>
      </c>
      <c r="B49" s="114"/>
      <c r="C49" s="114"/>
      <c r="D49" s="114"/>
      <c r="E49" s="114"/>
      <c r="F49" s="114"/>
      <c r="G49" s="114"/>
      <c r="H49" s="114"/>
      <c r="I49" s="115">
        <f>I47-I50</f>
        <v>-4.2344753128418233E-3</v>
      </c>
      <c r="J49" s="242"/>
      <c r="K49" s="242"/>
      <c r="L49" s="236"/>
      <c r="M49" s="237"/>
      <c r="N49" s="243"/>
      <c r="O49" s="5"/>
      <c r="P49" s="5"/>
    </row>
    <row r="50" spans="1:17" s="1" customFormat="1" ht="26.25" customHeight="1" thickBot="1" x14ac:dyDescent="0.3">
      <c r="A50" s="116" t="s">
        <v>46</v>
      </c>
      <c r="B50" s="116"/>
      <c r="C50" s="116"/>
      <c r="D50" s="116"/>
      <c r="E50" s="116"/>
      <c r="F50" s="116"/>
      <c r="G50" s="116"/>
      <c r="H50" s="116"/>
      <c r="I50" s="117">
        <f>'[2]FONDO ANNO 2016'!I39+L54+157.65-61.48</f>
        <v>22458.431954475316</v>
      </c>
      <c r="J50" s="11"/>
      <c r="K50" s="11"/>
      <c r="L50" s="236"/>
      <c r="M50" s="237"/>
      <c r="N50" s="243"/>
      <c r="O50" s="235"/>
      <c r="P50" s="5"/>
    </row>
    <row r="51" spans="1:17" s="1" customFormat="1" ht="26.25" customHeight="1" thickBot="1" x14ac:dyDescent="0.3">
      <c r="A51" s="118" t="s">
        <v>117</v>
      </c>
      <c r="B51" s="118"/>
      <c r="C51" s="118"/>
      <c r="D51" s="118"/>
      <c r="E51" s="118"/>
      <c r="F51" s="118"/>
      <c r="G51" s="118"/>
      <c r="H51" s="118"/>
      <c r="I51" s="119">
        <f>'[2]FONDO ANNO 2018'!I44-61.48</f>
        <v>13958.431954475314</v>
      </c>
      <c r="J51" s="120"/>
      <c r="K51" s="120"/>
      <c r="L51" s="9"/>
      <c r="M51" s="70"/>
      <c r="N51" s="25"/>
      <c r="O51" s="73"/>
    </row>
    <row r="52" spans="1:17" s="1" customFormat="1" ht="21.75" customHeight="1" thickBot="1" x14ac:dyDescent="0.3">
      <c r="A52" s="121" t="s">
        <v>118</v>
      </c>
      <c r="B52" s="121"/>
      <c r="C52" s="121"/>
      <c r="D52" s="121"/>
      <c r="E52" s="121"/>
      <c r="F52" s="121"/>
      <c r="G52" s="121"/>
      <c r="H52" s="121"/>
      <c r="I52" s="122">
        <f>I46-I49</f>
        <v>19996.406412793058</v>
      </c>
      <c r="J52" s="52">
        <f>I50+I32+I25</f>
        <v>23810.218080960291</v>
      </c>
      <c r="K52" s="52"/>
      <c r="L52" s="25"/>
      <c r="M52" s="25"/>
    </row>
    <row r="53" spans="1:17" s="1" customFormat="1" ht="19.5" thickBot="1" x14ac:dyDescent="0.25">
      <c r="A53" s="123"/>
      <c r="B53" s="12"/>
      <c r="C53" s="12"/>
      <c r="D53" s="12"/>
      <c r="E53" s="12"/>
      <c r="F53" s="12"/>
      <c r="G53" s="12"/>
      <c r="H53" s="12"/>
      <c r="I53" s="124" t="s">
        <v>47</v>
      </c>
      <c r="J53" s="125" t="s">
        <v>48</v>
      </c>
      <c r="K53" s="126"/>
      <c r="L53" s="127" t="s">
        <v>49</v>
      </c>
      <c r="M53" s="128" t="s">
        <v>50</v>
      </c>
      <c r="N53" s="5"/>
      <c r="O53" s="5"/>
      <c r="P53" s="5"/>
      <c r="Q53" s="5"/>
    </row>
    <row r="54" spans="1:17" s="1" customFormat="1" ht="29.25" customHeight="1" thickBot="1" x14ac:dyDescent="0.3">
      <c r="A54" s="129" t="s">
        <v>51</v>
      </c>
      <c r="B54" s="129"/>
      <c r="C54" s="129"/>
      <c r="D54" s="129"/>
      <c r="E54" s="129"/>
      <c r="F54" s="129"/>
      <c r="G54" s="129"/>
      <c r="H54" s="129"/>
      <c r="I54" s="130">
        <v>6800</v>
      </c>
      <c r="J54" s="131">
        <f>I54/100*25</f>
        <v>1700</v>
      </c>
      <c r="K54" s="132"/>
      <c r="L54" s="133">
        <f>I54+J54</f>
        <v>8500</v>
      </c>
      <c r="M54" s="128" t="s">
        <v>52</v>
      </c>
      <c r="N54" s="5"/>
      <c r="O54" s="5"/>
      <c r="P54" s="5"/>
      <c r="Q54" s="5"/>
    </row>
    <row r="55" spans="1:17" s="1" customFormat="1" ht="29.25" customHeight="1" thickBot="1" x14ac:dyDescent="0.3">
      <c r="A55" s="134" t="s">
        <v>53</v>
      </c>
      <c r="B55" s="134"/>
      <c r="C55" s="134"/>
      <c r="D55" s="134"/>
      <c r="E55" s="134"/>
      <c r="F55" s="134"/>
      <c r="G55" s="134"/>
      <c r="H55" s="134"/>
      <c r="I55" s="130">
        <v>6800</v>
      </c>
      <c r="J55" s="135">
        <f>I55/100*25</f>
        <v>1700</v>
      </c>
      <c r="K55" s="136"/>
      <c r="L55" s="133">
        <f>I55+J55</f>
        <v>8500</v>
      </c>
      <c r="M55" s="128" t="s">
        <v>54</v>
      </c>
      <c r="N55" s="5"/>
      <c r="O55" s="5"/>
      <c r="P55" s="5"/>
      <c r="Q55" s="5"/>
    </row>
    <row r="56" spans="1:17" s="1" customFormat="1" ht="18.75" customHeight="1" thickBot="1" x14ac:dyDescent="0.3">
      <c r="A56" s="137" t="s">
        <v>55</v>
      </c>
      <c r="B56" s="137"/>
      <c r="C56" s="137"/>
      <c r="D56" s="137"/>
      <c r="E56" s="137"/>
      <c r="F56" s="137"/>
      <c r="G56" s="137"/>
      <c r="H56" s="137"/>
      <c r="I56" s="138">
        <f>'[2]FONDO ANNO 2018'!I49</f>
        <v>2566.6666666666665</v>
      </c>
      <c r="J56" s="139">
        <f>I56/100*25</f>
        <v>641.66666666666663</v>
      </c>
      <c r="K56" s="140"/>
      <c r="L56" s="141">
        <f>I56+J56+I57+J57+I58+J58</f>
        <v>6345.7208333333328</v>
      </c>
      <c r="M56" s="142" t="s">
        <v>56</v>
      </c>
      <c r="N56" s="5"/>
      <c r="O56" s="5"/>
      <c r="P56" s="235">
        <f>I14-I49</f>
        <v>4.2344753128418233E-3</v>
      </c>
      <c r="Q56" s="235">
        <f>L59-P56</f>
        <v>11887.383265524688</v>
      </c>
    </row>
    <row r="57" spans="1:17" s="1" customFormat="1" ht="4.5" customHeight="1" thickBot="1" x14ac:dyDescent="0.3">
      <c r="A57" s="143"/>
      <c r="B57" s="143"/>
      <c r="C57" s="143"/>
      <c r="D57" s="143"/>
      <c r="E57" s="143"/>
      <c r="F57" s="143"/>
      <c r="G57" s="143"/>
      <c r="H57" s="143"/>
      <c r="I57" s="144"/>
      <c r="J57" s="145"/>
      <c r="K57" s="136"/>
      <c r="L57" s="141"/>
      <c r="M57" s="142"/>
      <c r="N57" s="5"/>
      <c r="O57" s="5"/>
      <c r="P57" s="5"/>
      <c r="Q57" s="5"/>
    </row>
    <row r="58" spans="1:17" s="1" customFormat="1" ht="18.75" customHeight="1" thickBot="1" x14ac:dyDescent="0.3">
      <c r="A58" s="146" t="s">
        <v>57</v>
      </c>
      <c r="B58" s="146"/>
      <c r="C58" s="146"/>
      <c r="D58" s="146"/>
      <c r="E58" s="146"/>
      <c r="F58" s="146"/>
      <c r="G58" s="146"/>
      <c r="H58" s="146"/>
      <c r="I58" s="147">
        <f>193.07*13</f>
        <v>2509.91</v>
      </c>
      <c r="J58" s="148">
        <f>I58/100*25</f>
        <v>627.47749999999996</v>
      </c>
      <c r="K58" s="149"/>
      <c r="L58" s="141"/>
      <c r="M58" s="142"/>
      <c r="N58" s="5"/>
      <c r="O58" s="5"/>
      <c r="P58" s="235">
        <f>L59+I52-I25-I26-I39</f>
        <v>29072.669454475312</v>
      </c>
      <c r="Q58" s="5"/>
    </row>
    <row r="59" spans="1:17" s="1" customFormat="1" ht="18.75" customHeight="1" thickBot="1" x14ac:dyDescent="0.3">
      <c r="A59" s="137" t="s">
        <v>58</v>
      </c>
      <c r="B59" s="137"/>
      <c r="C59" s="137"/>
      <c r="D59" s="137"/>
      <c r="E59" s="137"/>
      <c r="F59" s="137"/>
      <c r="G59" s="137"/>
      <c r="H59" s="137"/>
      <c r="I59" s="138">
        <v>7000</v>
      </c>
      <c r="J59" s="139">
        <f>I59/100*25</f>
        <v>1750</v>
      </c>
      <c r="K59" s="140"/>
      <c r="L59" s="150">
        <f>I59+J59+I60+J60+I61+J61</f>
        <v>11887.387500000001</v>
      </c>
      <c r="M59" s="142" t="s">
        <v>59</v>
      </c>
      <c r="N59" s="5"/>
      <c r="O59" s="5"/>
      <c r="P59" s="235"/>
      <c r="Q59" s="5"/>
    </row>
    <row r="60" spans="1:17" s="1" customFormat="1" ht="7.5" customHeight="1" thickBot="1" x14ac:dyDescent="0.3">
      <c r="A60" s="143"/>
      <c r="B60" s="143"/>
      <c r="C60" s="143"/>
      <c r="D60" s="143"/>
      <c r="E60" s="143"/>
      <c r="F60" s="143"/>
      <c r="G60" s="143"/>
      <c r="H60" s="143"/>
      <c r="I60" s="144"/>
      <c r="J60" s="145"/>
      <c r="K60" s="136"/>
      <c r="L60" s="150"/>
      <c r="M60" s="142"/>
      <c r="N60" s="5"/>
      <c r="O60" s="5"/>
      <c r="P60" s="235"/>
      <c r="Q60" s="5"/>
    </row>
    <row r="61" spans="1:17" s="1" customFormat="1" ht="18.75" customHeight="1" thickBot="1" x14ac:dyDescent="0.3">
      <c r="A61" s="146" t="s">
        <v>60</v>
      </c>
      <c r="B61" s="146"/>
      <c r="C61" s="146"/>
      <c r="D61" s="146"/>
      <c r="E61" s="146"/>
      <c r="F61" s="146"/>
      <c r="G61" s="146"/>
      <c r="H61" s="146"/>
      <c r="I61" s="147">
        <f>193.07*13</f>
        <v>2509.91</v>
      </c>
      <c r="J61" s="151">
        <f t="shared" ref="J61:J67" si="3">I61/100*25</f>
        <v>627.47749999999996</v>
      </c>
      <c r="K61" s="136"/>
      <c r="L61" s="150"/>
      <c r="M61" s="142"/>
      <c r="N61" s="5"/>
      <c r="O61" s="5"/>
      <c r="P61" s="235"/>
      <c r="Q61" s="5"/>
    </row>
    <row r="62" spans="1:17" s="1" customFormat="1" ht="18.75" customHeight="1" thickBot="1" x14ac:dyDescent="0.3">
      <c r="A62" s="146" t="s">
        <v>61</v>
      </c>
      <c r="B62" s="146"/>
      <c r="C62" s="146"/>
      <c r="D62" s="146"/>
      <c r="E62" s="146"/>
      <c r="F62" s="146"/>
      <c r="G62" s="146"/>
      <c r="H62" s="146"/>
      <c r="I62" s="147">
        <f>193.07*13</f>
        <v>2509.91</v>
      </c>
      <c r="J62" s="151">
        <f t="shared" si="3"/>
        <v>627.47749999999996</v>
      </c>
      <c r="K62" s="136"/>
      <c r="L62" s="141">
        <f>I62+J62+I63+J63</f>
        <v>13137.387500000001</v>
      </c>
      <c r="M62" s="142" t="s">
        <v>62</v>
      </c>
      <c r="N62" s="5"/>
      <c r="O62" s="5"/>
      <c r="P62" s="235"/>
      <c r="Q62" s="5"/>
    </row>
    <row r="63" spans="1:17" s="1" customFormat="1" ht="18.75" customHeight="1" thickBot="1" x14ac:dyDescent="0.3">
      <c r="A63" s="137" t="s">
        <v>63</v>
      </c>
      <c r="B63" s="137"/>
      <c r="C63" s="137"/>
      <c r="D63" s="137"/>
      <c r="E63" s="137"/>
      <c r="F63" s="137"/>
      <c r="G63" s="137"/>
      <c r="H63" s="137"/>
      <c r="I63" s="138">
        <v>8000</v>
      </c>
      <c r="J63" s="151">
        <f t="shared" si="3"/>
        <v>2000</v>
      </c>
      <c r="K63" s="136"/>
      <c r="L63" s="141"/>
      <c r="M63" s="142"/>
      <c r="N63" s="5"/>
      <c r="O63" s="5"/>
      <c r="P63" s="235"/>
      <c r="Q63" s="5"/>
    </row>
    <row r="64" spans="1:17" s="1" customFormat="1" ht="18.75" customHeight="1" thickBot="1" x14ac:dyDescent="0.3">
      <c r="A64" s="146" t="s">
        <v>64</v>
      </c>
      <c r="B64" s="146"/>
      <c r="C64" s="146"/>
      <c r="D64" s="146"/>
      <c r="E64" s="146"/>
      <c r="F64" s="146"/>
      <c r="G64" s="146"/>
      <c r="H64" s="146"/>
      <c r="I64" s="147">
        <f>193.07*13</f>
        <v>2509.91</v>
      </c>
      <c r="J64" s="151">
        <f t="shared" si="3"/>
        <v>627.47749999999996</v>
      </c>
      <c r="K64" s="152"/>
      <c r="L64" s="141">
        <f>J64+I64+I65+J65</f>
        <v>13137.387500000001</v>
      </c>
      <c r="M64" s="142" t="s">
        <v>65</v>
      </c>
      <c r="N64" s="243">
        <f>J65/(J65+J64)</f>
        <v>0.76118634698108734</v>
      </c>
      <c r="O64" s="5"/>
      <c r="P64" s="235"/>
      <c r="Q64" s="5"/>
    </row>
    <row r="65" spans="1:17" s="1" customFormat="1" ht="18.75" customHeight="1" thickBot="1" x14ac:dyDescent="0.3">
      <c r="A65" s="137" t="s">
        <v>66</v>
      </c>
      <c r="B65" s="137"/>
      <c r="C65" s="137"/>
      <c r="D65" s="137"/>
      <c r="E65" s="137"/>
      <c r="F65" s="137"/>
      <c r="G65" s="137"/>
      <c r="H65" s="137"/>
      <c r="I65" s="138">
        <v>8000</v>
      </c>
      <c r="J65" s="153">
        <f t="shared" si="3"/>
        <v>2000</v>
      </c>
      <c r="K65" s="154"/>
      <c r="L65" s="155"/>
      <c r="M65" s="142"/>
      <c r="N65" s="243">
        <f>J64/(J64+J65)</f>
        <v>0.23881365301891261</v>
      </c>
      <c r="O65" s="5"/>
      <c r="P65" s="235">
        <f>I52+L55+I32+I26+I25</f>
        <v>30180.992539278031</v>
      </c>
      <c r="Q65" s="5"/>
    </row>
    <row r="66" spans="1:17" s="1" customFormat="1" ht="18.75" customHeight="1" thickBot="1" x14ac:dyDescent="0.3">
      <c r="A66" s="146" t="s">
        <v>67</v>
      </c>
      <c r="B66" s="146"/>
      <c r="C66" s="146"/>
      <c r="D66" s="146"/>
      <c r="E66" s="146"/>
      <c r="F66" s="146"/>
      <c r="G66" s="146"/>
      <c r="H66" s="146"/>
      <c r="I66" s="147">
        <f>193.07*13</f>
        <v>2509.91</v>
      </c>
      <c r="J66" s="151">
        <f t="shared" si="3"/>
        <v>627.47749999999996</v>
      </c>
      <c r="K66" s="156"/>
      <c r="L66" s="141">
        <f>J66+I66+I67+J67+J68</f>
        <v>13272.463636334456</v>
      </c>
      <c r="M66" s="155" t="s">
        <v>68</v>
      </c>
      <c r="N66" s="243"/>
      <c r="O66" s="5"/>
      <c r="P66" s="235"/>
      <c r="Q66" s="5"/>
    </row>
    <row r="67" spans="1:17" s="1" customFormat="1" ht="18.75" customHeight="1" thickBot="1" x14ac:dyDescent="0.3">
      <c r="A67" s="137" t="s">
        <v>69</v>
      </c>
      <c r="B67" s="137"/>
      <c r="C67" s="137"/>
      <c r="D67" s="137"/>
      <c r="E67" s="137"/>
      <c r="F67" s="137"/>
      <c r="G67" s="137"/>
      <c r="H67" s="137"/>
      <c r="I67" s="138">
        <v>8000</v>
      </c>
      <c r="J67" s="157">
        <f t="shared" si="3"/>
        <v>2000</v>
      </c>
      <c r="K67" s="158"/>
      <c r="L67" s="141"/>
      <c r="M67" s="155"/>
      <c r="N67" s="243"/>
      <c r="O67" s="5"/>
      <c r="P67" s="235"/>
      <c r="Q67" s="5"/>
    </row>
    <row r="68" spans="1:17" s="1" customFormat="1" ht="18.75" customHeight="1" thickBot="1" x14ac:dyDescent="0.3">
      <c r="A68" s="159" t="s">
        <v>119</v>
      </c>
      <c r="B68" s="159"/>
      <c r="C68" s="159"/>
      <c r="D68" s="159"/>
      <c r="E68" s="159"/>
      <c r="F68" s="159"/>
      <c r="G68" s="159"/>
      <c r="H68" s="159"/>
      <c r="I68" s="160"/>
      <c r="J68" s="161">
        <f>D104*F93*2</f>
        <v>135.07613633445459</v>
      </c>
      <c r="K68" s="162"/>
      <c r="L68" s="141"/>
      <c r="M68" s="155"/>
      <c r="N68" s="243">
        <f>SUM(N64:N65)</f>
        <v>1</v>
      </c>
      <c r="O68" s="5"/>
      <c r="P68" s="5"/>
      <c r="Q68" s="5"/>
    </row>
    <row r="69" spans="1:17" s="1" customFormat="1" ht="18.75" customHeight="1" thickBot="1" x14ac:dyDescent="0.3">
      <c r="A69" s="142" t="s">
        <v>70</v>
      </c>
      <c r="B69" s="142"/>
      <c r="C69" s="142"/>
      <c r="D69" s="142"/>
      <c r="E69" s="142"/>
      <c r="F69" s="142"/>
      <c r="G69" s="142"/>
      <c r="H69" s="142"/>
      <c r="I69" s="142"/>
      <c r="J69" s="163"/>
      <c r="K69" s="164"/>
      <c r="L69" s="165">
        <f>L54-I66-J66-I67-J67</f>
        <v>-4637.3874999999998</v>
      </c>
      <c r="M69" s="166"/>
      <c r="N69" s="243"/>
      <c r="O69" s="5"/>
      <c r="P69" s="5"/>
      <c r="Q69" s="5"/>
    </row>
    <row r="70" spans="1:17" s="1" customFormat="1" ht="18.75" customHeight="1" thickBot="1" x14ac:dyDescent="0.3">
      <c r="A70" s="146" t="s">
        <v>67</v>
      </c>
      <c r="B70" s="146"/>
      <c r="C70" s="146"/>
      <c r="D70" s="146"/>
      <c r="E70" s="146"/>
      <c r="F70" s="146"/>
      <c r="G70" s="146"/>
      <c r="H70" s="146"/>
      <c r="I70" s="147">
        <f>193.07*13</f>
        <v>2509.91</v>
      </c>
      <c r="J70" s="151">
        <f>I70/100*25</f>
        <v>627.47749999999996</v>
      </c>
      <c r="K70" s="136"/>
      <c r="L70" s="141">
        <f>J70+I70+I71+J71+J72</f>
        <v>13204.925568167228</v>
      </c>
      <c r="M70" s="155" t="s">
        <v>120</v>
      </c>
      <c r="N70" s="243"/>
      <c r="O70" s="5"/>
      <c r="P70" s="5"/>
      <c r="Q70" s="5"/>
    </row>
    <row r="71" spans="1:17" s="1" customFormat="1" ht="18.75" customHeight="1" thickBot="1" x14ac:dyDescent="0.3">
      <c r="A71" s="137" t="s">
        <v>69</v>
      </c>
      <c r="B71" s="137"/>
      <c r="C71" s="137"/>
      <c r="D71" s="137"/>
      <c r="E71" s="137"/>
      <c r="F71" s="137"/>
      <c r="G71" s="137"/>
      <c r="H71" s="137"/>
      <c r="I71" s="138">
        <v>8000</v>
      </c>
      <c r="J71" s="157">
        <f>I71/100*25</f>
        <v>2000</v>
      </c>
      <c r="K71" s="158"/>
      <c r="L71" s="141"/>
      <c r="M71" s="155"/>
      <c r="N71" s="25"/>
    </row>
    <row r="72" spans="1:17" s="1" customFormat="1" ht="18.75" customHeight="1" thickBot="1" x14ac:dyDescent="0.3">
      <c r="A72" s="159" t="s">
        <v>121</v>
      </c>
      <c r="B72" s="159"/>
      <c r="C72" s="159"/>
      <c r="D72" s="159"/>
      <c r="E72" s="159"/>
      <c r="F72" s="159"/>
      <c r="G72" s="159"/>
      <c r="H72" s="159"/>
      <c r="I72" s="160"/>
      <c r="J72" s="161">
        <f>D104*F93</f>
        <v>67.538068167227294</v>
      </c>
      <c r="K72" s="162"/>
      <c r="L72" s="141"/>
      <c r="M72" s="167"/>
      <c r="N72" s="25"/>
    </row>
    <row r="73" spans="1:17" s="1" customFormat="1" ht="13.5" customHeight="1" thickBot="1" x14ac:dyDescent="0.3">
      <c r="A73" s="142" t="s">
        <v>122</v>
      </c>
      <c r="B73" s="142"/>
      <c r="C73" s="142"/>
      <c r="D73" s="142"/>
      <c r="E73" s="142"/>
      <c r="F73" s="142"/>
      <c r="G73" s="142"/>
      <c r="H73" s="142"/>
      <c r="I73" s="142"/>
      <c r="J73" s="163"/>
      <c r="K73" s="168"/>
      <c r="L73" s="169">
        <f>L54-I70-J70-I71-J71</f>
        <v>-4637.3874999999998</v>
      </c>
      <c r="M73" s="170"/>
    </row>
    <row r="74" spans="1:17" s="1" customFormat="1" ht="9" customHeight="1" thickBot="1" x14ac:dyDescent="0.3">
      <c r="A74" s="171"/>
      <c r="B74" s="13"/>
      <c r="C74" s="13"/>
      <c r="D74" s="13"/>
      <c r="E74" s="13"/>
      <c r="F74" s="13"/>
      <c r="G74" s="13"/>
      <c r="H74" s="13"/>
      <c r="I74" s="172"/>
      <c r="L74" s="73"/>
    </row>
    <row r="75" spans="1:17" s="1" customFormat="1" ht="15" x14ac:dyDescent="0.25">
      <c r="A75" s="173" t="s">
        <v>123</v>
      </c>
      <c r="B75" s="174"/>
      <c r="C75" s="174"/>
      <c r="D75" s="174"/>
      <c r="E75" s="174"/>
      <c r="F75" s="175"/>
      <c r="G75" s="174"/>
      <c r="H75" s="176"/>
      <c r="I75" s="244"/>
      <c r="J75" s="5"/>
      <c r="K75" s="5"/>
      <c r="L75" s="235"/>
      <c r="M75" s="5"/>
      <c r="N75" s="5"/>
      <c r="O75" s="5"/>
    </row>
    <row r="76" spans="1:17" s="1" customFormat="1" ht="15" x14ac:dyDescent="0.25">
      <c r="A76" s="177" t="s">
        <v>71</v>
      </c>
      <c r="B76" s="75"/>
      <c r="C76" s="75"/>
      <c r="D76" s="75"/>
      <c r="E76" s="75"/>
      <c r="F76" s="76"/>
      <c r="G76" s="178"/>
      <c r="H76" s="179"/>
      <c r="I76" s="245"/>
      <c r="J76" s="5"/>
      <c r="K76" s="5"/>
      <c r="L76" s="235"/>
      <c r="M76" s="5"/>
      <c r="N76" s="5"/>
      <c r="O76" s="5"/>
    </row>
    <row r="77" spans="1:17" s="1" customFormat="1" ht="15" x14ac:dyDescent="0.25">
      <c r="A77" s="181" t="s">
        <v>72</v>
      </c>
      <c r="B77" s="181"/>
      <c r="C77" s="181"/>
      <c r="D77" s="181"/>
      <c r="E77" s="181"/>
      <c r="F77" s="181"/>
      <c r="G77" s="182"/>
      <c r="H77" s="183">
        <f>J14</f>
        <v>7189.6344747685198</v>
      </c>
      <c r="I77" s="246"/>
      <c r="J77" s="5"/>
      <c r="K77" s="5"/>
      <c r="L77" s="5"/>
      <c r="M77" s="5"/>
      <c r="N77" s="5"/>
      <c r="O77" s="5"/>
    </row>
    <row r="78" spans="1:17" s="1" customFormat="1" ht="15" x14ac:dyDescent="0.25">
      <c r="A78" s="81" t="s">
        <v>100</v>
      </c>
      <c r="B78" s="82"/>
      <c r="C78" s="82"/>
      <c r="D78" s="82"/>
      <c r="E78" s="82"/>
      <c r="F78" s="82"/>
      <c r="G78" s="182"/>
      <c r="H78" s="183">
        <f>K14</f>
        <v>650</v>
      </c>
      <c r="I78" s="246"/>
      <c r="J78" s="5"/>
      <c r="K78" s="5"/>
      <c r="L78" s="5"/>
      <c r="M78" s="5"/>
      <c r="N78" s="5"/>
      <c r="O78" s="5"/>
    </row>
    <row r="79" spans="1:17" s="1" customFormat="1" ht="15" x14ac:dyDescent="0.25">
      <c r="A79" s="81" t="s">
        <v>73</v>
      </c>
      <c r="B79" s="82"/>
      <c r="C79" s="82"/>
      <c r="D79" s="82"/>
      <c r="E79" s="82"/>
      <c r="F79" s="82"/>
      <c r="G79" s="82"/>
      <c r="H79" s="184">
        <f>L14</f>
        <v>1948.8186166666665</v>
      </c>
      <c r="I79" s="247">
        <f>H77+H79</f>
        <v>9138.4530914351853</v>
      </c>
      <c r="J79" s="5"/>
      <c r="K79" s="5"/>
      <c r="L79" s="5"/>
      <c r="M79" s="5"/>
      <c r="N79" s="5"/>
      <c r="O79" s="5"/>
    </row>
    <row r="80" spans="1:17" s="1" customFormat="1" ht="14.25" x14ac:dyDescent="0.25">
      <c r="A80" s="185" t="s">
        <v>74</v>
      </c>
      <c r="B80" s="185"/>
      <c r="C80" s="185"/>
      <c r="D80" s="185"/>
      <c r="E80" s="185"/>
      <c r="F80" s="185"/>
      <c r="G80" s="185"/>
      <c r="H80" s="186">
        <f>SUM(H77:H79)</f>
        <v>9788.4530914351853</v>
      </c>
      <c r="I80" s="247"/>
      <c r="J80" s="5"/>
      <c r="K80" s="5"/>
      <c r="L80" s="5"/>
      <c r="M80" s="5"/>
      <c r="N80" s="5">
        <v>1670</v>
      </c>
      <c r="O80" s="5" t="s">
        <v>75</v>
      </c>
    </row>
    <row r="81" spans="1:15" s="1" customFormat="1" ht="15" x14ac:dyDescent="0.25">
      <c r="A81" s="177" t="s">
        <v>76</v>
      </c>
      <c r="B81" s="75"/>
      <c r="C81" s="75"/>
      <c r="D81" s="75"/>
      <c r="E81" s="75"/>
      <c r="F81" s="76"/>
      <c r="G81" s="187"/>
      <c r="H81" s="188"/>
      <c r="I81" s="245"/>
      <c r="J81" s="5"/>
      <c r="K81" s="5"/>
      <c r="L81" s="5"/>
      <c r="M81" s="5"/>
      <c r="N81" s="5"/>
      <c r="O81" s="5"/>
    </row>
    <row r="82" spans="1:15" s="1" customFormat="1" ht="15" x14ac:dyDescent="0.25">
      <c r="A82" s="81" t="s">
        <v>77</v>
      </c>
      <c r="B82" s="82"/>
      <c r="C82" s="82"/>
      <c r="D82" s="82"/>
      <c r="E82" s="82"/>
      <c r="F82" s="82"/>
      <c r="G82" s="82"/>
      <c r="H82" s="184">
        <f>E14</f>
        <v>600</v>
      </c>
      <c r="I82" s="245"/>
      <c r="J82" s="5"/>
      <c r="K82" s="5"/>
      <c r="L82" s="235"/>
      <c r="M82" s="5"/>
      <c r="N82" s="5"/>
      <c r="O82" s="5"/>
    </row>
    <row r="83" spans="1:15" s="1" customFormat="1" ht="15" x14ac:dyDescent="0.25">
      <c r="A83" s="189" t="s">
        <v>78</v>
      </c>
      <c r="B83" s="182"/>
      <c r="C83" s="182"/>
      <c r="D83" s="182"/>
      <c r="E83" s="182"/>
      <c r="F83" s="182"/>
      <c r="G83" s="182"/>
      <c r="H83" s="183">
        <f>C14</f>
        <v>2783</v>
      </c>
      <c r="I83" s="245"/>
      <c r="J83" s="5"/>
      <c r="K83" s="5"/>
      <c r="L83" s="5"/>
      <c r="M83" s="5" t="s">
        <v>79</v>
      </c>
      <c r="N83" s="248">
        <v>1262.29</v>
      </c>
      <c r="O83" s="5"/>
    </row>
    <row r="84" spans="1:15" s="1" customFormat="1" ht="15" x14ac:dyDescent="0.25">
      <c r="A84" s="189" t="s">
        <v>80</v>
      </c>
      <c r="B84" s="182"/>
      <c r="C84" s="182"/>
      <c r="D84" s="182"/>
      <c r="E84" s="182"/>
      <c r="F84" s="182"/>
      <c r="G84" s="182"/>
      <c r="H84" s="183">
        <f>D14</f>
        <v>1044.67</v>
      </c>
      <c r="I84" s="245"/>
      <c r="J84" s="5"/>
      <c r="K84" s="5"/>
      <c r="L84" s="5"/>
      <c r="M84" s="5"/>
      <c r="N84" s="248"/>
      <c r="O84" s="5"/>
    </row>
    <row r="85" spans="1:15" s="1" customFormat="1" ht="15" x14ac:dyDescent="0.25">
      <c r="A85" s="189" t="s">
        <v>7</v>
      </c>
      <c r="B85" s="182"/>
      <c r="C85" s="182"/>
      <c r="D85" s="182"/>
      <c r="E85" s="182"/>
      <c r="F85" s="182"/>
      <c r="G85" s="182"/>
      <c r="H85" s="183">
        <f>G14</f>
        <v>577.80000000000007</v>
      </c>
      <c r="I85" s="245"/>
      <c r="J85" s="235">
        <f>H85+H86</f>
        <v>5780.28</v>
      </c>
      <c r="K85" s="235"/>
      <c r="L85" s="5"/>
      <c r="M85" s="5"/>
      <c r="N85" s="5"/>
      <c r="O85" s="5"/>
    </row>
    <row r="86" spans="1:15" s="1" customFormat="1" ht="15" x14ac:dyDescent="0.25">
      <c r="A86" s="190" t="s">
        <v>81</v>
      </c>
      <c r="B86" s="191"/>
      <c r="C86" s="191"/>
      <c r="D86" s="191"/>
      <c r="E86" s="191"/>
      <c r="F86" s="191"/>
      <c r="G86" s="191"/>
      <c r="H86" s="183">
        <f>F14</f>
        <v>5202.4799999999996</v>
      </c>
      <c r="I86" s="245"/>
      <c r="J86" s="249"/>
      <c r="K86" s="249"/>
      <c r="L86" s="5"/>
      <c r="M86" s="5"/>
      <c r="N86" s="5"/>
      <c r="O86" s="5"/>
    </row>
    <row r="87" spans="1:15" s="1" customFormat="1" ht="14.25" customHeight="1" x14ac:dyDescent="0.25">
      <c r="A87" s="192" t="s">
        <v>82</v>
      </c>
      <c r="B87" s="192"/>
      <c r="C87" s="192"/>
      <c r="D87" s="192"/>
      <c r="E87" s="192"/>
      <c r="F87" s="192"/>
      <c r="G87" s="192"/>
      <c r="H87" s="193">
        <f>SUM(H82:H86)</f>
        <v>10207.950000000001</v>
      </c>
      <c r="I87" s="245"/>
      <c r="J87" s="249"/>
      <c r="K87" s="249"/>
      <c r="L87" s="5"/>
      <c r="M87" s="5"/>
      <c r="N87" s="5"/>
      <c r="O87" s="5"/>
    </row>
    <row r="88" spans="1:15" s="1" customFormat="1" ht="15.75" thickBot="1" x14ac:dyDescent="0.3">
      <c r="A88" s="194" t="s">
        <v>124</v>
      </c>
      <c r="B88" s="195"/>
      <c r="C88" s="195"/>
      <c r="D88" s="195"/>
      <c r="E88" s="195"/>
      <c r="F88" s="195"/>
      <c r="G88" s="195"/>
      <c r="H88" s="196">
        <f>H80+H87</f>
        <v>19996.403091435186</v>
      </c>
      <c r="I88" s="245"/>
      <c r="J88" s="5"/>
      <c r="K88" s="5"/>
      <c r="L88" s="5"/>
      <c r="M88" s="5"/>
      <c r="N88" s="5"/>
      <c r="O88" s="5"/>
    </row>
    <row r="89" spans="1:15" s="1" customFormat="1" ht="15" x14ac:dyDescent="0.25">
      <c r="A89" s="81" t="s">
        <v>125</v>
      </c>
      <c r="B89" s="82"/>
      <c r="C89" s="82"/>
      <c r="D89" s="82"/>
      <c r="E89" s="82"/>
      <c r="F89" s="82"/>
      <c r="G89" s="82"/>
      <c r="H89" s="197">
        <f>I52-H88</f>
        <v>3.3213578717550263E-3</v>
      </c>
      <c r="I89" s="245"/>
      <c r="J89" s="5"/>
      <c r="K89" s="5"/>
      <c r="L89" s="5"/>
      <c r="M89" s="5"/>
      <c r="N89" s="5"/>
      <c r="O89" s="5"/>
    </row>
    <row r="90" spans="1:15" s="1" customFormat="1" ht="16.5" thickBot="1" x14ac:dyDescent="0.3">
      <c r="A90" s="194" t="s">
        <v>83</v>
      </c>
      <c r="B90" s="195"/>
      <c r="C90" s="195"/>
      <c r="D90" s="195"/>
      <c r="E90" s="195"/>
      <c r="F90" s="195"/>
      <c r="G90" s="195"/>
      <c r="H90" s="198">
        <f>H88+H89</f>
        <v>19996.406412793058</v>
      </c>
      <c r="I90" s="245">
        <f>H90-I79</f>
        <v>10857.953321357872</v>
      </c>
    </row>
    <row r="91" spans="1:15" s="1" customFormat="1" ht="15.75" thickBot="1" x14ac:dyDescent="0.3">
      <c r="A91" s="199"/>
      <c r="B91" s="199"/>
      <c r="C91" s="199"/>
      <c r="D91" s="199"/>
      <c r="E91" s="199"/>
      <c r="F91" s="199"/>
      <c r="G91" s="199"/>
      <c r="H91" s="200"/>
      <c r="I91" s="180"/>
      <c r="L91" s="16"/>
      <c r="M91" s="16"/>
      <c r="N91" s="16"/>
    </row>
    <row r="92" spans="1:15" s="1" customFormat="1" ht="13.5" thickBot="1" x14ac:dyDescent="0.3">
      <c r="A92" s="15"/>
      <c r="B92" s="201"/>
      <c r="C92" s="201"/>
      <c r="D92" s="202" t="s">
        <v>84</v>
      </c>
      <c r="E92" s="202"/>
      <c r="F92" s="202"/>
      <c r="G92" s="203">
        <f>D104</f>
        <v>149.40640000000002</v>
      </c>
      <c r="H92" s="204"/>
      <c r="I92" s="14"/>
      <c r="L92" s="16"/>
      <c r="M92" s="16"/>
      <c r="N92" s="16"/>
    </row>
    <row r="93" spans="1:15" s="1" customFormat="1" x14ac:dyDescent="0.25">
      <c r="A93" s="15"/>
      <c r="B93" s="17"/>
      <c r="C93" s="17"/>
      <c r="D93" s="205" t="s">
        <v>85</v>
      </c>
      <c r="E93" s="206">
        <f>'[2]FONDO ANNO 2021'!K54</f>
        <v>13137.387500000001</v>
      </c>
      <c r="F93" s="207">
        <f>E93/E95</f>
        <v>0.45204267131279041</v>
      </c>
      <c r="G93" s="208">
        <f>G92*F93</f>
        <v>67.538068167227294</v>
      </c>
      <c r="H93" s="204"/>
      <c r="I93" s="209"/>
      <c r="L93" s="16"/>
      <c r="M93" s="16"/>
      <c r="N93" s="16"/>
    </row>
    <row r="94" spans="1:15" s="1" customFormat="1" x14ac:dyDescent="0.25">
      <c r="A94" s="18"/>
      <c r="B94" s="52"/>
      <c r="C94" s="52"/>
      <c r="D94" s="210" t="s">
        <v>86</v>
      </c>
      <c r="E94" s="211">
        <f>'[2]FONDO ANNO 2021'!H72</f>
        <v>15924.885452788567</v>
      </c>
      <c r="F94" s="212">
        <f>E94/E95</f>
        <v>0.54795732868720959</v>
      </c>
      <c r="G94" s="208">
        <f>G92*F94</f>
        <v>81.868331832772725</v>
      </c>
      <c r="H94" s="18"/>
      <c r="I94" s="172"/>
      <c r="J94" s="16"/>
      <c r="K94" s="16"/>
      <c r="L94" s="16"/>
      <c r="M94" s="16"/>
      <c r="N94" s="213"/>
    </row>
    <row r="95" spans="1:15" s="1" customFormat="1" ht="13.5" thickBot="1" x14ac:dyDescent="0.3">
      <c r="A95" s="18"/>
      <c r="B95" s="52"/>
      <c r="C95" s="52"/>
      <c r="D95" s="214" t="s">
        <v>87</v>
      </c>
      <c r="E95" s="215">
        <f>SUM(E93:E94)</f>
        <v>29062.272952788568</v>
      </c>
      <c r="F95" s="216">
        <f>SUM(F93:F94)</f>
        <v>1</v>
      </c>
      <c r="G95" s="217">
        <f>SUM(G93:G94)</f>
        <v>149.40640000000002</v>
      </c>
      <c r="I95" s="172"/>
      <c r="J95" s="16"/>
      <c r="K95" s="16"/>
      <c r="L95" s="204"/>
      <c r="M95" s="213"/>
      <c r="N95" s="213"/>
    </row>
    <row r="96" spans="1:15" s="1" customFormat="1" ht="13.5" thickBot="1" x14ac:dyDescent="0.3">
      <c r="A96" s="18"/>
      <c r="B96" s="52"/>
      <c r="C96" s="52"/>
      <c r="D96" s="52"/>
      <c r="E96" s="52"/>
      <c r="I96" s="172"/>
      <c r="J96" s="16"/>
      <c r="K96" s="16"/>
      <c r="L96" s="204"/>
      <c r="M96" s="213"/>
      <c r="N96" s="213"/>
    </row>
    <row r="97" spans="1:14" s="1" customFormat="1" ht="18.75" customHeight="1" thickBot="1" x14ac:dyDescent="0.35">
      <c r="A97" s="218" t="s">
        <v>88</v>
      </c>
      <c r="B97" s="218"/>
      <c r="C97" s="218"/>
      <c r="D97" s="218"/>
      <c r="E97" s="218"/>
      <c r="I97" s="172"/>
      <c r="J97" s="219"/>
      <c r="K97" s="219"/>
      <c r="L97" s="204"/>
      <c r="M97" s="213"/>
      <c r="N97" s="213"/>
    </row>
    <row r="98" spans="1:14" s="1" customFormat="1" ht="18.75" customHeight="1" thickBot="1" x14ac:dyDescent="0.35">
      <c r="A98" s="218" t="s">
        <v>89</v>
      </c>
      <c r="B98" s="218"/>
      <c r="C98" s="218"/>
      <c r="D98" s="218"/>
      <c r="E98" s="218"/>
      <c r="I98" s="172"/>
      <c r="J98" s="219"/>
      <c r="K98" s="219"/>
      <c r="L98" s="204"/>
      <c r="M98" s="213"/>
      <c r="N98" s="213"/>
    </row>
    <row r="99" spans="1:14" s="1" customFormat="1" ht="18.75" customHeight="1" x14ac:dyDescent="0.25">
      <c r="A99" s="220" t="s">
        <v>90</v>
      </c>
      <c r="B99" s="221"/>
      <c r="C99" s="221"/>
      <c r="D99" s="222" t="s">
        <v>126</v>
      </c>
      <c r="E99" s="223" t="s">
        <v>127</v>
      </c>
      <c r="I99" s="172"/>
      <c r="J99" s="219"/>
      <c r="K99" s="219"/>
      <c r="L99" s="204"/>
      <c r="M99" s="213"/>
      <c r="N99" s="213"/>
    </row>
    <row r="100" spans="1:14" s="1" customFormat="1" ht="18.75" customHeight="1" x14ac:dyDescent="0.25">
      <c r="A100" s="224" t="s">
        <v>91</v>
      </c>
      <c r="B100" s="225"/>
      <c r="C100" s="225"/>
      <c r="D100" s="226">
        <v>2.2000000000000001E-3</v>
      </c>
      <c r="E100" s="227">
        <v>5.4999999999999997E-3</v>
      </c>
      <c r="I100" s="172"/>
      <c r="J100" s="219"/>
      <c r="K100" s="219"/>
      <c r="L100" s="204"/>
      <c r="M100" s="213"/>
      <c r="N100" s="213"/>
    </row>
    <row r="101" spans="1:14" s="1" customFormat="1" ht="18.75" customHeight="1" x14ac:dyDescent="0.25">
      <c r="A101" s="224" t="s">
        <v>92</v>
      </c>
      <c r="B101" s="225"/>
      <c r="C101" s="228">
        <f>50598-899</f>
        <v>49699</v>
      </c>
      <c r="D101" s="225"/>
      <c r="E101" s="229"/>
      <c r="I101" s="172"/>
      <c r="J101" s="219"/>
      <c r="K101" s="219"/>
      <c r="L101" s="204"/>
      <c r="M101" s="213"/>
      <c r="N101" s="213"/>
    </row>
    <row r="102" spans="1:14" s="1" customFormat="1" ht="18.75" customHeight="1" x14ac:dyDescent="0.25">
      <c r="A102" s="224" t="s">
        <v>93</v>
      </c>
      <c r="B102" s="225"/>
      <c r="C102" s="228">
        <f>36606-18393</f>
        <v>18213</v>
      </c>
      <c r="D102" s="228"/>
      <c r="E102" s="229"/>
      <c r="I102" s="180"/>
      <c r="J102" s="219"/>
      <c r="K102" s="219"/>
      <c r="L102" s="204"/>
      <c r="M102" s="213"/>
      <c r="N102" s="213"/>
    </row>
    <row r="103" spans="1:14" s="1" customFormat="1" ht="18.75" customHeight="1" x14ac:dyDescent="0.25">
      <c r="A103" s="224" t="s">
        <v>94</v>
      </c>
      <c r="B103" s="225"/>
      <c r="C103" s="228"/>
      <c r="D103" s="225"/>
      <c r="E103" s="229"/>
      <c r="I103" s="180"/>
      <c r="J103" s="219"/>
      <c r="K103" s="219"/>
      <c r="M103" s="213"/>
    </row>
    <row r="104" spans="1:14" s="1" customFormat="1" ht="18.75" customHeight="1" thickBot="1" x14ac:dyDescent="0.3">
      <c r="A104" s="230" t="s">
        <v>87</v>
      </c>
      <c r="B104" s="231"/>
      <c r="C104" s="232">
        <f>SUM(C101:C103)</f>
        <v>67912</v>
      </c>
      <c r="D104" s="233">
        <f>C104*D100</f>
        <v>149.40640000000002</v>
      </c>
      <c r="E104" s="234">
        <f>C104*E100</f>
        <v>373.51599999999996</v>
      </c>
      <c r="I104" s="14"/>
      <c r="J104" s="219"/>
      <c r="K104" s="219"/>
    </row>
    <row r="105" spans="1:14" s="1" customFormat="1" ht="18.75" customHeight="1" x14ac:dyDescent="0.25">
      <c r="I105" s="14"/>
    </row>
    <row r="106" spans="1:14" s="1" customFormat="1" ht="18.75" customHeight="1" x14ac:dyDescent="0.25">
      <c r="I106" s="14"/>
    </row>
    <row r="107" spans="1:14" s="1" customFormat="1" ht="18.75" customHeight="1" x14ac:dyDescent="0.25">
      <c r="I107" s="14"/>
    </row>
    <row r="108" spans="1:14" s="1" customFormat="1" ht="18.75" customHeight="1" x14ac:dyDescent="0.25">
      <c r="I108" s="14"/>
    </row>
    <row r="109" spans="1:14" s="1" customFormat="1" ht="18.75" customHeight="1" x14ac:dyDescent="0.25">
      <c r="I109" s="14"/>
    </row>
    <row r="110" spans="1:14" s="1" customFormat="1" ht="18.75" customHeight="1" x14ac:dyDescent="0.25">
      <c r="I110" s="14"/>
    </row>
    <row r="111" spans="1:14" s="1" customFormat="1" ht="18.75" customHeight="1" x14ac:dyDescent="0.25">
      <c r="I111" s="14"/>
    </row>
    <row r="112" spans="1:14" s="1" customFormat="1" ht="18.75" customHeight="1" x14ac:dyDescent="0.25">
      <c r="I112" s="14"/>
    </row>
    <row r="113" spans="1:20" s="1" customFormat="1" ht="18.75" customHeight="1" x14ac:dyDescent="0.25">
      <c r="I113" s="14"/>
    </row>
    <row r="114" spans="1:20" s="1" customFormat="1" ht="18.75" customHeight="1" x14ac:dyDescent="0.25">
      <c r="I114" s="14"/>
    </row>
    <row r="115" spans="1:20" s="1" customFormat="1" ht="18.75" customHeight="1" x14ac:dyDescent="0.25">
      <c r="I115" s="14"/>
    </row>
    <row r="116" spans="1:20" s="1" customFormat="1" ht="18.75" customHeight="1" x14ac:dyDescent="0.25">
      <c r="I116" s="14"/>
    </row>
    <row r="117" spans="1:20" s="1" customFormat="1" ht="18.75" customHeight="1" x14ac:dyDescent="0.25">
      <c r="I117" s="14"/>
    </row>
    <row r="118" spans="1:20" s="1" customFormat="1" ht="18.75" customHeight="1" x14ac:dyDescent="0.25">
      <c r="A118" s="2"/>
      <c r="B118" s="2"/>
      <c r="C118" s="2"/>
      <c r="D118" s="2"/>
      <c r="E118" s="2"/>
      <c r="F118" s="2"/>
      <c r="G118" s="2"/>
      <c r="H118" s="2"/>
      <c r="I118" s="19"/>
      <c r="N118" s="2"/>
      <c r="Q118" s="2"/>
      <c r="R118" s="2"/>
      <c r="S118" s="2"/>
      <c r="T118" s="2"/>
    </row>
    <row r="119" spans="1:20" s="1" customFormat="1" ht="18.75" customHeight="1" x14ac:dyDescent="0.25">
      <c r="A119" s="2"/>
      <c r="B119" s="2"/>
      <c r="C119" s="2"/>
      <c r="D119" s="2"/>
      <c r="E119" s="2"/>
      <c r="F119" s="2"/>
      <c r="G119" s="2"/>
      <c r="H119" s="2"/>
      <c r="I119" s="19"/>
      <c r="L119" s="2"/>
      <c r="M119" s="2"/>
      <c r="N119" s="2"/>
      <c r="Q119" s="2"/>
      <c r="R119" s="2"/>
      <c r="S119" s="2"/>
      <c r="T119" s="2"/>
    </row>
    <row r="120" spans="1:20" s="1" customFormat="1" ht="18.75" customHeight="1" x14ac:dyDescent="0.25">
      <c r="A120" s="2"/>
      <c r="B120" s="2"/>
      <c r="C120" s="2"/>
      <c r="D120" s="2"/>
      <c r="E120" s="2"/>
      <c r="F120" s="2"/>
      <c r="G120" s="2"/>
      <c r="H120" s="2"/>
      <c r="I120" s="19"/>
      <c r="L120" s="2"/>
      <c r="M120" s="2"/>
      <c r="N120" s="2"/>
      <c r="Q120" s="2"/>
      <c r="R120" s="2"/>
      <c r="S120" s="2"/>
      <c r="T120" s="2"/>
    </row>
  </sheetData>
  <mergeCells count="73">
    <mergeCell ref="A97:E97"/>
    <mergeCell ref="A98:E98"/>
    <mergeCell ref="L70:L72"/>
    <mergeCell ref="M70:M72"/>
    <mergeCell ref="A71:H71"/>
    <mergeCell ref="A72:H72"/>
    <mergeCell ref="A73:J73"/>
    <mergeCell ref="A1:N1"/>
    <mergeCell ref="A2:N2"/>
    <mergeCell ref="A15:H15"/>
    <mergeCell ref="A17:H17"/>
    <mergeCell ref="J17:J26"/>
    <mergeCell ref="A22:H22"/>
    <mergeCell ref="A23:H23"/>
    <mergeCell ref="A24:H24"/>
    <mergeCell ref="A25:H25"/>
    <mergeCell ref="A26:H26"/>
    <mergeCell ref="A39:H39"/>
    <mergeCell ref="A27:H27"/>
    <mergeCell ref="A28:H28"/>
    <mergeCell ref="A29:H29"/>
    <mergeCell ref="A30:H30"/>
    <mergeCell ref="A32:H32"/>
    <mergeCell ref="A33:H33"/>
    <mergeCell ref="A34:H34"/>
    <mergeCell ref="A35:H35"/>
    <mergeCell ref="A36:H36"/>
    <mergeCell ref="A37:H37"/>
    <mergeCell ref="A38:H38"/>
    <mergeCell ref="A51:H51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50:H50"/>
    <mergeCell ref="M56:M58"/>
    <mergeCell ref="A57:H57"/>
    <mergeCell ref="A58:H58"/>
    <mergeCell ref="A59:H59"/>
    <mergeCell ref="L59:L61"/>
    <mergeCell ref="M59:M61"/>
    <mergeCell ref="A60:H60"/>
    <mergeCell ref="A52:H52"/>
    <mergeCell ref="A54:H54"/>
    <mergeCell ref="A55:H55"/>
    <mergeCell ref="A56:H56"/>
    <mergeCell ref="L56:L58"/>
    <mergeCell ref="A61:H61"/>
    <mergeCell ref="A64:H64"/>
    <mergeCell ref="L64:L65"/>
    <mergeCell ref="M64:M65"/>
    <mergeCell ref="A65:H65"/>
    <mergeCell ref="A62:H62"/>
    <mergeCell ref="L62:L63"/>
    <mergeCell ref="M62:M63"/>
    <mergeCell ref="A63:H63"/>
    <mergeCell ref="A66:H66"/>
    <mergeCell ref="L66:L68"/>
    <mergeCell ref="M66:M68"/>
    <mergeCell ref="A67:H67"/>
    <mergeCell ref="A68:H68"/>
    <mergeCell ref="A69:J69"/>
    <mergeCell ref="A70:H70"/>
    <mergeCell ref="A77:F77"/>
    <mergeCell ref="A80:G80"/>
    <mergeCell ref="A87:G87"/>
    <mergeCell ref="D92:F92"/>
  </mergeCells>
  <pageMargins left="0.7" right="0.7" top="0.75" bottom="0.75" header="0.3" footer="0.3"/>
  <pageSetup paperSize="9" scale="6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2025-09-11T06:20:10Z</cp:lastPrinted>
  <dcterms:created xsi:type="dcterms:W3CDTF">2024-03-04T07:49:39Z</dcterms:created>
  <dcterms:modified xsi:type="dcterms:W3CDTF">2025-09-11T06:20:45Z</dcterms:modified>
</cp:coreProperties>
</file>